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ljun Talle\Documents\BC for Release Dec 2025\"/>
    </mc:Choice>
  </mc:AlternateContent>
  <xr:revisionPtr revIDLastSave="0" documentId="13_ncr:1_{7B17927C-3615-49E2-872A-1D7420376112}" xr6:coauthVersionLast="47" xr6:coauthVersionMax="47" xr10:uidLastSave="{00000000-0000-0000-0000-000000000000}"/>
  <bookViews>
    <workbookView xWindow="14055" yWindow="-16320" windowWidth="29040" windowHeight="15720" xr2:uid="{82CA376D-4EE0-43BD-AB5B-158499DD3055}"/>
  </bookViews>
  <sheets>
    <sheet name="Cash Flow Statement" sheetId="9" r:id="rId1"/>
    <sheet name="Options" sheetId="6" r:id="rId2"/>
    <sheet name="Information" sheetId="18" r:id="rId3"/>
    <sheet name="VelixoReportsConnections" sheetId="3" state="veryHidden" r:id="rId4"/>
    <sheet name="VelixoReportsGIOptions" sheetId="4" state="veryHidden" r:id="rId5"/>
    <sheet name="VelixoReportsSettings" sheetId="5" state="veryHidden" r:id="rId6"/>
  </sheets>
  <definedNames>
    <definedName name="BSAcctCategories">"Assets;Liabilities;Equity"</definedName>
    <definedName name="Connection">Options!$A$2</definedName>
    <definedName name="Dim_array">_xlfn.ANCHORARRAY('Cash Flow Statement'!$G$4)</definedName>
    <definedName name="DimValues_array">_xlfn.ANCHORARRAY('Cash Flow Statement'!$G$5)</definedName>
    <definedName name="PLAcctCategories">"Income;Expense;Cost of Goods Sold"</definedName>
    <definedName name="VelixoAutoHideZeroRows" localSheetId="0">'Cash Flow Statement'!$A$9:$A$18</definedName>
    <definedName name="VelixoSuppressErrors" localSheetId="0">'Cash Flow Statement'!$B:$C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6" l="1" a="1"/>
  <c r="N1" i="6" s="1"/>
  <c r="N2" i="6" s="1" a="1"/>
  <c r="N2" i="6" s="1"/>
  <c r="C2" i="6" a="1"/>
  <c r="C2" i="6" s="1"/>
  <c r="G2" i="6" a="1"/>
  <c r="G2" i="6" s="1"/>
  <c r="H2" i="6" a="1"/>
  <c r="H2" i="6" s="1"/>
  <c r="K2" i="6" a="1"/>
  <c r="K2" i="6" s="1"/>
  <c r="G3" i="9" s="1" a="1"/>
  <c r="G3" i="9" s="1"/>
  <c r="U2" i="6" a="1"/>
  <c r="U2" i="6"/>
  <c r="V2" i="6" a="1"/>
  <c r="V2" i="6"/>
  <c r="W2" i="6" a="1"/>
  <c r="W2" i="6"/>
  <c r="G2" i="9" a="1"/>
  <c r="G2" i="9"/>
  <c r="G4" i="9" a="1"/>
  <c r="G4" i="9"/>
  <c r="G5" i="9" a="1"/>
  <c r="G5" i="9"/>
  <c r="A16" i="9"/>
  <c r="A17" i="9"/>
  <c r="A18" i="9"/>
  <c r="G22" i="9"/>
  <c r="C24" i="9" a="1"/>
  <c r="C24" i="9" s="1"/>
  <c r="C25" i="9" a="1"/>
  <c r="C25" i="9" s="1"/>
  <c r="C26" i="9" a="1"/>
  <c r="C26" i="9" s="1"/>
  <c r="B26" i="9" s="1" a="1"/>
  <c r="B26" i="9" s="1"/>
  <c r="A26" i="9" s="1" a="1"/>
  <c r="A26" i="9" s="1"/>
  <c r="C27" i="9" a="1"/>
  <c r="C27" i="9" s="1"/>
  <c r="B27" i="9" s="1" a="1"/>
  <c r="B27" i="9" s="1"/>
  <c r="A27" i="9" s="1" a="1"/>
  <c r="A27" i="9" s="1"/>
  <c r="C28" i="9" a="1"/>
  <c r="C28" i="9" s="1"/>
  <c r="C29" i="9" a="1"/>
  <c r="C29" i="9" s="1"/>
  <c r="B29" i="9" s="1" a="1"/>
  <c r="B29" i="9" s="1"/>
  <c r="A29" i="9" s="1" a="1"/>
  <c r="A29" i="9" s="1"/>
  <c r="C30" i="9" a="1"/>
  <c r="C30" i="9" s="1"/>
  <c r="C31" i="9" a="1"/>
  <c r="C31" i="9" s="1"/>
  <c r="B32" i="9" a="1"/>
  <c r="B32" i="9"/>
  <c r="A32" i="9" a="1"/>
  <c r="A32" i="9"/>
  <c r="B33" i="9" a="1"/>
  <c r="B33" i="9" s="1"/>
  <c r="A33" i="9" s="1" a="1"/>
  <c r="A33" i="9" s="1"/>
  <c r="C34" i="9" a="1"/>
  <c r="C34" i="9" s="1"/>
  <c r="C35" i="9" a="1"/>
  <c r="C35" i="9" s="1"/>
  <c r="B35" i="9" s="1" a="1"/>
  <c r="B35" i="9" s="1"/>
  <c r="A35" i="9" s="1" a="1"/>
  <c r="A35" i="9" s="1"/>
  <c r="C36" i="9" a="1"/>
  <c r="C36" i="9" s="1"/>
  <c r="B36" i="9" s="1" a="1"/>
  <c r="B36" i="9" s="1"/>
  <c r="A36" i="9" s="1" a="1"/>
  <c r="A36" i="9" s="1"/>
  <c r="B37" i="9" a="1"/>
  <c r="B37" i="9"/>
  <c r="A37" i="9" a="1"/>
  <c r="A37" i="9"/>
  <c r="B38" i="9" a="1"/>
  <c r="B38" i="9"/>
  <c r="A38" i="9" a="1"/>
  <c r="A38" i="9"/>
  <c r="C39" i="9" a="1"/>
  <c r="C39" i="9" s="1"/>
  <c r="C40" i="9" a="1"/>
  <c r="C40" i="9" s="1"/>
  <c r="B40" i="9" s="1" a="1"/>
  <c r="B40" i="9" s="1"/>
  <c r="A40" i="9" s="1" a="1"/>
  <c r="A40" i="9" s="1"/>
  <c r="C41" i="9" a="1"/>
  <c r="C41" i="9" s="1"/>
  <c r="B41" i="9" s="1" a="1"/>
  <c r="B41" i="9" s="1"/>
  <c r="A41" i="9" s="1" a="1"/>
  <c r="A41" i="9" s="1"/>
  <c r="B42" i="9" a="1"/>
  <c r="B42" i="9" s="1"/>
  <c r="A42" i="9" s="1" a="1"/>
  <c r="A42" i="9" s="1"/>
  <c r="B43" i="9" a="1"/>
  <c r="B43" i="9" s="1"/>
  <c r="A43" i="9" s="1" a="1"/>
  <c r="A43" i="9"/>
  <c r="C44" i="9" a="1"/>
  <c r="C44" i="9" s="1"/>
  <c r="G44" i="9" s="1" a="1"/>
  <c r="G44" i="9" s="1"/>
  <c r="B45" i="9" a="1"/>
  <c r="B45" i="9"/>
  <c r="A45" i="9" s="1" a="1"/>
  <c r="A45" i="9" s="1"/>
  <c r="B46" i="9" a="1"/>
  <c r="B46" i="9"/>
  <c r="A46" i="9" s="1" a="1"/>
  <c r="A46" i="9" s="1"/>
  <c r="C47" i="9" a="1"/>
  <c r="C47" i="9" s="1"/>
  <c r="C48" i="9" a="1"/>
  <c r="C48" i="9" s="1"/>
  <c r="B48" i="9" s="1" a="1"/>
  <c r="B48" i="9" s="1"/>
  <c r="A48" i="9" s="1" a="1"/>
  <c r="A48" i="9" s="1"/>
  <c r="D2" i="6" l="1"/>
  <c r="G1" i="9" s="1"/>
  <c r="G30" i="9" s="1" a="1"/>
  <c r="G30" i="9" s="1"/>
  <c r="G47" i="9" a="1"/>
  <c r="G47" i="9" s="1"/>
  <c r="I44" i="9" a="1"/>
  <c r="I44" i="9" s="1"/>
  <c r="B44" i="9" a="1"/>
  <c r="B44" i="9" s="1"/>
  <c r="A44" i="9" s="1" a="1"/>
  <c r="A44" i="9" s="1"/>
  <c r="B31" i="9" a="1"/>
  <c r="B31" i="9" s="1"/>
  <c r="A31" i="9" s="1" a="1"/>
  <c r="A31" i="9" s="1"/>
  <c r="I31" i="9" a="1"/>
  <c r="I31" i="9" s="1"/>
  <c r="B24" i="9" a="1"/>
  <c r="B24" i="9" s="1"/>
  <c r="A24" i="9" s="1" a="1"/>
  <c r="A24" i="9" s="1"/>
  <c r="I2" i="6" a="1"/>
  <c r="I2" i="6" s="1"/>
  <c r="B25" i="9" a="1"/>
  <c r="B25" i="9" s="1"/>
  <c r="A25" i="9" s="1" a="1"/>
  <c r="A25" i="9" s="1"/>
  <c r="G41" i="9" a="1"/>
  <c r="G41" i="9" s="1"/>
  <c r="B47" i="9" a="1"/>
  <c r="B47" i="9" s="1"/>
  <c r="A47" i="9" s="1" a="1"/>
  <c r="A47" i="9" s="1"/>
  <c r="G29" i="9" a="1"/>
  <c r="G29" i="9" s="1"/>
  <c r="B30" i="9" a="1"/>
  <c r="B30" i="9" s="1"/>
  <c r="A30" i="9" s="1" a="1"/>
  <c r="A30" i="9" s="1"/>
  <c r="Q2" i="6" a="1"/>
  <c r="Q2" i="6" s="1"/>
  <c r="P2" i="6" a="1"/>
  <c r="P2" i="6" s="1"/>
  <c r="O2" i="6" a="1"/>
  <c r="O2" i="6" s="1"/>
  <c r="S2" i="6" a="1"/>
  <c r="S2" i="6" s="1"/>
  <c r="B9" i="9" a="1"/>
  <c r="R2" i="6" a="1"/>
  <c r="R2" i="6" s="1"/>
  <c r="T2" i="6" a="1"/>
  <c r="T2" i="6" s="1"/>
  <c r="G39" i="9" a="1"/>
  <c r="G39" i="9" s="1"/>
  <c r="G42" i="9" s="1"/>
  <c r="I36" i="9" a="1"/>
  <c r="I36" i="9" s="1"/>
  <c r="G36" i="9" a="1"/>
  <c r="G36" i="9" s="1"/>
  <c r="B39" i="9" a="1"/>
  <c r="B39" i="9" s="1"/>
  <c r="A39" i="9" s="1" a="1"/>
  <c r="A39" i="9" s="1"/>
  <c r="G28" i="9" a="1"/>
  <c r="G28" i="9" s="1"/>
  <c r="B28" i="9" a="1"/>
  <c r="B28" i="9" s="1"/>
  <c r="A28" i="9" s="1" a="1"/>
  <c r="A28" i="9" s="1"/>
  <c r="G35" i="9" a="1"/>
  <c r="G35" i="9" s="1"/>
  <c r="I35" i="9" a="1"/>
  <c r="I35" i="9" s="1"/>
  <c r="B34" i="9" a="1"/>
  <c r="B34" i="9" s="1"/>
  <c r="A34" i="9" s="1" a="1"/>
  <c r="A34" i="9" s="1"/>
  <c r="G34" i="9" a="1"/>
  <c r="G34" i="9" s="1"/>
  <c r="G37" i="9" s="1"/>
  <c r="I40" i="9" a="1"/>
  <c r="I40" i="9" s="1"/>
  <c r="G40" i="9" a="1"/>
  <c r="G40" i="9" s="1"/>
  <c r="A12" i="9"/>
  <c r="G31" i="9" a="1"/>
  <c r="G31" i="9" s="1"/>
  <c r="G26" i="9" a="1"/>
  <c r="G26" i="9" s="1"/>
  <c r="G27" i="9" l="1" a="1"/>
  <c r="G27" i="9" s="1"/>
  <c r="G25" i="9" a="1"/>
  <c r="G25" i="9" s="1"/>
  <c r="G24" i="9" a="1"/>
  <c r="G24" i="9" s="1"/>
  <c r="E2" i="6"/>
  <c r="H1" i="9"/>
  <c r="L1" i="9"/>
  <c r="A11" i="9"/>
  <c r="A10" i="9"/>
  <c r="B9" i="9"/>
  <c r="A9" i="9" s="1"/>
  <c r="A13" i="9"/>
  <c r="A14" i="9"/>
  <c r="A15" i="9"/>
  <c r="G32" i="9" l="1"/>
  <c r="G45" i="9" s="1"/>
  <c r="G48" i="9" s="1"/>
  <c r="L2" i="9"/>
  <c r="M1" i="9"/>
  <c r="H2" i="9"/>
  <c r="I26" i="9" s="1" a="1"/>
  <c r="I26" i="9" s="1"/>
  <c r="I24" i="9" a="1"/>
  <c r="I24" i="9" s="1"/>
  <c r="I34" i="9" a="1"/>
  <c r="I34" i="9" s="1"/>
  <c r="I37" i="9" s="1"/>
  <c r="I41" i="9" a="1"/>
  <c r="I41" i="9" s="1"/>
  <c r="I30" i="9" a="1"/>
  <c r="I30" i="9" s="1"/>
  <c r="I39" i="9" a="1"/>
  <c r="I39" i="9" s="1"/>
  <c r="I42" i="9" s="1"/>
  <c r="I28" i="9" a="1"/>
  <c r="I28" i="9" s="1"/>
  <c r="I25" i="9" a="1"/>
  <c r="I25" i="9" s="1"/>
  <c r="I47" i="9" a="1"/>
  <c r="I47" i="9" s="1"/>
  <c r="H47" i="9" a="1"/>
  <c r="H47" i="9" s="1"/>
  <c r="J47" i="9" s="1"/>
  <c r="I29" i="9" a="1"/>
  <c r="I29" i="9" s="1"/>
  <c r="I27" i="9" a="1"/>
  <c r="I27" i="9" s="1"/>
  <c r="F9" i="9" a="1"/>
  <c r="F9" i="9" s="1"/>
  <c r="I32" i="9" l="1"/>
  <c r="I45" i="9" s="1"/>
  <c r="I48" i="9" s="1"/>
  <c r="M2" i="9"/>
  <c r="N1" i="9"/>
  <c r="L3" i="9"/>
  <c r="L22" i="9"/>
  <c r="L25" i="9" l="1" a="1"/>
  <c r="L25" i="9" s="1"/>
  <c r="L28" i="9" a="1"/>
  <c r="L28" i="9" s="1"/>
  <c r="L26" i="9" a="1"/>
  <c r="L26" i="9" s="1"/>
  <c r="L29" i="9" a="1"/>
  <c r="L29" i="9" s="1"/>
  <c r="L47" i="9" a="1"/>
  <c r="L47" i="9" s="1"/>
  <c r="L36" i="9" a="1"/>
  <c r="L36" i="9" s="1"/>
  <c r="L39" i="9" a="1"/>
  <c r="L39" i="9" s="1"/>
  <c r="L35" i="9" a="1"/>
  <c r="L35" i="9" s="1"/>
  <c r="L48" i="9" a="1"/>
  <c r="L48" i="9" s="1"/>
  <c r="L27" i="9" a="1"/>
  <c r="L27" i="9" s="1"/>
  <c r="L24" i="9" a="1"/>
  <c r="L24" i="9" s="1"/>
  <c r="L30" i="9" a="1"/>
  <c r="L30" i="9" s="1"/>
  <c r="L31" i="9" a="1"/>
  <c r="L31" i="9" s="1"/>
  <c r="L44" i="9" a="1"/>
  <c r="L44" i="9" s="1"/>
  <c r="L40" i="9" a="1"/>
  <c r="L40" i="9" s="1"/>
  <c r="L34" i="9" a="1"/>
  <c r="L34" i="9" s="1"/>
  <c r="L41" i="9" a="1"/>
  <c r="L41" i="9" s="1"/>
  <c r="N2" i="9"/>
  <c r="O1" i="9"/>
  <c r="M3" i="9"/>
  <c r="L42" i="9" l="1"/>
  <c r="L37" i="9"/>
  <c r="M24" i="9" a="1"/>
  <c r="M24" i="9" s="1"/>
  <c r="M29" i="9" a="1"/>
  <c r="M29" i="9" s="1"/>
  <c r="M40" i="9" a="1"/>
  <c r="M40" i="9" s="1"/>
  <c r="M28" i="9" a="1"/>
  <c r="M28" i="9" s="1"/>
  <c r="M36" i="9" a="1"/>
  <c r="M36" i="9" s="1"/>
  <c r="M39" i="9" a="1"/>
  <c r="M39" i="9" s="1"/>
  <c r="M26" i="9" a="1"/>
  <c r="M26" i="9" s="1"/>
  <c r="M41" i="9" a="1"/>
  <c r="M41" i="9" s="1"/>
  <c r="M47" i="9" a="1"/>
  <c r="M47" i="9" s="1"/>
  <c r="M30" i="9" a="1"/>
  <c r="M30" i="9" s="1"/>
  <c r="M35" i="9" a="1"/>
  <c r="M35" i="9" s="1"/>
  <c r="M34" i="9" a="1"/>
  <c r="M34" i="9" s="1"/>
  <c r="M37" i="9" s="1"/>
  <c r="M31" i="9" a="1"/>
  <c r="M31" i="9" s="1"/>
  <c r="M44" i="9" a="1"/>
  <c r="M44" i="9" s="1"/>
  <c r="M27" i="9" a="1"/>
  <c r="M27" i="9" s="1"/>
  <c r="M48" i="9" a="1"/>
  <c r="M48" i="9" s="1"/>
  <c r="M25" i="9" a="1"/>
  <c r="M25" i="9" s="1"/>
  <c r="P1" i="9"/>
  <c r="O2" i="9"/>
  <c r="N3" i="9"/>
  <c r="N22" i="9"/>
  <c r="M22" i="9"/>
  <c r="L32" i="9"/>
  <c r="L45" i="9" s="1"/>
  <c r="M32" i="9" l="1"/>
  <c r="M45" i="9" s="1"/>
  <c r="M42" i="9"/>
  <c r="Q1" i="9"/>
  <c r="P2" i="9"/>
  <c r="N41" i="9" a="1"/>
  <c r="N41" i="9" s="1"/>
  <c r="N31" i="9" a="1"/>
  <c r="N31" i="9" s="1"/>
  <c r="N26" i="9" a="1"/>
  <c r="N26" i="9" s="1"/>
  <c r="N35" i="9" a="1"/>
  <c r="N35" i="9" s="1"/>
  <c r="N48" i="9" a="1"/>
  <c r="N48" i="9" s="1"/>
  <c r="N24" i="9" a="1"/>
  <c r="N24" i="9" s="1"/>
  <c r="N27" i="9" a="1"/>
  <c r="N27" i="9" s="1"/>
  <c r="N40" i="9" a="1"/>
  <c r="N40" i="9" s="1"/>
  <c r="N47" i="9" a="1"/>
  <c r="N47" i="9" s="1"/>
  <c r="N36" i="9" a="1"/>
  <c r="N36" i="9" s="1"/>
  <c r="N44" i="9" a="1"/>
  <c r="N44" i="9" s="1"/>
  <c r="N25" i="9" a="1"/>
  <c r="N25" i="9" s="1"/>
  <c r="N30" i="9" a="1"/>
  <c r="N30" i="9" s="1"/>
  <c r="N28" i="9" a="1"/>
  <c r="N28" i="9" s="1"/>
  <c r="N34" i="9" a="1"/>
  <c r="N34" i="9" s="1"/>
  <c r="N37" i="9" s="1"/>
  <c r="N39" i="9" a="1"/>
  <c r="N39" i="9" s="1"/>
  <c r="N29" i="9" a="1"/>
  <c r="N29" i="9" s="1"/>
  <c r="O3" i="9"/>
  <c r="O22" i="9"/>
  <c r="N42" i="9" l="1"/>
  <c r="N32" i="9"/>
  <c r="N45" i="9" s="1"/>
  <c r="P22" i="9"/>
  <c r="P3" i="9"/>
  <c r="R1" i="9"/>
  <c r="Q2" i="9"/>
  <c r="O48" i="9" a="1"/>
  <c r="O48" i="9" s="1"/>
  <c r="O35" i="9" a="1"/>
  <c r="O35" i="9" s="1"/>
  <c r="O41" i="9" a="1"/>
  <c r="O41" i="9" s="1"/>
  <c r="O47" i="9" a="1"/>
  <c r="O47" i="9" s="1"/>
  <c r="O27" i="9" a="1"/>
  <c r="O27" i="9" s="1"/>
  <c r="O28" i="9" a="1"/>
  <c r="O28" i="9" s="1"/>
  <c r="O26" i="9" a="1"/>
  <c r="O26" i="9" s="1"/>
  <c r="O29" i="9" a="1"/>
  <c r="O29" i="9" s="1"/>
  <c r="O40" i="9" a="1"/>
  <c r="O40" i="9" s="1"/>
  <c r="O34" i="9" a="1"/>
  <c r="O34" i="9" s="1"/>
  <c r="O37" i="9" s="1"/>
  <c r="O31" i="9" a="1"/>
  <c r="O31" i="9" s="1"/>
  <c r="O39" i="9" a="1"/>
  <c r="O39" i="9" s="1"/>
  <c r="O36" i="9" a="1"/>
  <c r="O36" i="9" s="1"/>
  <c r="O24" i="9" a="1"/>
  <c r="O24" i="9" s="1"/>
  <c r="O44" i="9" a="1"/>
  <c r="O44" i="9" s="1"/>
  <c r="O25" i="9" a="1"/>
  <c r="O25" i="9" s="1"/>
  <c r="O30" i="9" a="1"/>
  <c r="O30" i="9" s="1"/>
  <c r="O42" i="9" l="1"/>
  <c r="O32" i="9"/>
  <c r="O45" i="9" s="1"/>
  <c r="Q3" i="9"/>
  <c r="Q22" i="9"/>
  <c r="S1" i="9"/>
  <c r="R2" i="9"/>
  <c r="P47" i="9" a="1"/>
  <c r="P47" i="9" s="1"/>
  <c r="P41" i="9" a="1"/>
  <c r="P41" i="9" s="1"/>
  <c r="P34" i="9" a="1"/>
  <c r="P34" i="9" s="1"/>
  <c r="P37" i="9" s="1"/>
  <c r="P44" i="9" a="1"/>
  <c r="P44" i="9" s="1"/>
  <c r="P31" i="9" a="1"/>
  <c r="P31" i="9" s="1"/>
  <c r="P26" i="9" a="1"/>
  <c r="P26" i="9" s="1"/>
  <c r="P35" i="9" a="1"/>
  <c r="P35" i="9" s="1"/>
  <c r="P48" i="9" a="1"/>
  <c r="P48" i="9" s="1"/>
  <c r="P27" i="9" a="1"/>
  <c r="P27" i="9" s="1"/>
  <c r="P25" i="9" a="1"/>
  <c r="P25" i="9" s="1"/>
  <c r="P24" i="9" a="1"/>
  <c r="P24" i="9" s="1"/>
  <c r="P28" i="9" a="1"/>
  <c r="P28" i="9" s="1"/>
  <c r="P39" i="9" a="1"/>
  <c r="P39" i="9" s="1"/>
  <c r="P36" i="9" a="1"/>
  <c r="P36" i="9" s="1"/>
  <c r="P29" i="9" a="1"/>
  <c r="P29" i="9" s="1"/>
  <c r="P40" i="9" a="1"/>
  <c r="P40" i="9" s="1"/>
  <c r="P30" i="9" a="1"/>
  <c r="P30" i="9" s="1"/>
  <c r="P32" i="9" l="1"/>
  <c r="P45" i="9" s="1"/>
  <c r="P42" i="9"/>
  <c r="S2" i="9"/>
  <c r="T1" i="9"/>
  <c r="R22" i="9"/>
  <c r="R3" i="9"/>
  <c r="Q35" i="9" a="1"/>
  <c r="Q35" i="9" s="1"/>
  <c r="Q48" i="9" a="1"/>
  <c r="Q48" i="9" s="1"/>
  <c r="Q27" i="9" a="1"/>
  <c r="Q27" i="9" s="1"/>
  <c r="Q28" i="9" a="1"/>
  <c r="Q28" i="9" s="1"/>
  <c r="Q31" i="9" a="1"/>
  <c r="Q31" i="9" s="1"/>
  <c r="Q44" i="9" a="1"/>
  <c r="Q44" i="9" s="1"/>
  <c r="Q39" i="9" a="1"/>
  <c r="Q39" i="9" s="1"/>
  <c r="Q24" i="9" a="1"/>
  <c r="Q24" i="9" s="1"/>
  <c r="Q29" i="9" a="1"/>
  <c r="Q29" i="9" s="1"/>
  <c r="Q25" i="9" a="1"/>
  <c r="Q25" i="9" s="1"/>
  <c r="Q34" i="9" a="1"/>
  <c r="Q34" i="9" s="1"/>
  <c r="Q37" i="9" s="1"/>
  <c r="Q30" i="9" a="1"/>
  <c r="Q30" i="9" s="1"/>
  <c r="Q36" i="9" a="1"/>
  <c r="Q36" i="9" s="1"/>
  <c r="Q40" i="9" a="1"/>
  <c r="Q40" i="9" s="1"/>
  <c r="Q26" i="9" a="1"/>
  <c r="Q26" i="9" s="1"/>
  <c r="Q41" i="9" a="1"/>
  <c r="Q41" i="9" s="1"/>
  <c r="Q47" i="9" a="1"/>
  <c r="Q47" i="9" s="1"/>
  <c r="Q32" i="9" l="1"/>
  <c r="Q45" i="9" s="1"/>
  <c r="Q42" i="9"/>
  <c r="R36" i="9" a="1"/>
  <c r="R36" i="9" s="1"/>
  <c r="R24" i="9" a="1"/>
  <c r="R24" i="9" s="1"/>
  <c r="R41" i="9" a="1"/>
  <c r="R41" i="9" s="1"/>
  <c r="R34" i="9" a="1"/>
  <c r="R34" i="9" s="1"/>
  <c r="R26" i="9" a="1"/>
  <c r="R26" i="9" s="1"/>
  <c r="R35" i="9" a="1"/>
  <c r="R35" i="9" s="1"/>
  <c r="R39" i="9" a="1"/>
  <c r="R39" i="9" s="1"/>
  <c r="R31" i="9" a="1"/>
  <c r="R31" i="9" s="1"/>
  <c r="R30" i="9" a="1"/>
  <c r="R30" i="9" s="1"/>
  <c r="R47" i="9" a="1"/>
  <c r="R47" i="9" s="1"/>
  <c r="R29" i="9" a="1"/>
  <c r="R29" i="9" s="1"/>
  <c r="R48" i="9" a="1"/>
  <c r="R48" i="9" s="1"/>
  <c r="R44" i="9" a="1"/>
  <c r="R44" i="9" s="1"/>
  <c r="R27" i="9" a="1"/>
  <c r="R27" i="9" s="1"/>
  <c r="R40" i="9" a="1"/>
  <c r="R40" i="9" s="1"/>
  <c r="R25" i="9" a="1"/>
  <c r="R25" i="9" s="1"/>
  <c r="R28" i="9" a="1"/>
  <c r="R28" i="9" s="1"/>
  <c r="U1" i="9"/>
  <c r="T2" i="9"/>
  <c r="S3" i="9"/>
  <c r="R32" i="9" l="1"/>
  <c r="R42" i="9"/>
  <c r="R37" i="9"/>
  <c r="R45" i="9"/>
  <c r="T22" i="9"/>
  <c r="T3" i="9"/>
  <c r="U2" i="9"/>
  <c r="V1" i="9"/>
  <c r="S44" i="9" a="1"/>
  <c r="S44" i="9" s="1"/>
  <c r="S28" i="9" a="1"/>
  <c r="S28" i="9" s="1"/>
  <c r="S30" i="9" a="1"/>
  <c r="S30" i="9" s="1"/>
  <c r="S26" i="9" a="1"/>
  <c r="S26" i="9" s="1"/>
  <c r="S31" i="9" a="1"/>
  <c r="S31" i="9" s="1"/>
  <c r="S34" i="9" a="1"/>
  <c r="S34" i="9" s="1"/>
  <c r="S37" i="9" s="1"/>
  <c r="S24" i="9" a="1"/>
  <c r="S24" i="9" s="1"/>
  <c r="S47" i="9" a="1"/>
  <c r="S47" i="9" s="1"/>
  <c r="S27" i="9" a="1"/>
  <c r="S27" i="9" s="1"/>
  <c r="S35" i="9" a="1"/>
  <c r="S35" i="9" s="1"/>
  <c r="S48" i="9" a="1"/>
  <c r="S48" i="9" s="1"/>
  <c r="S39" i="9" a="1"/>
  <c r="S39" i="9" s="1"/>
  <c r="S29" i="9" a="1"/>
  <c r="S29" i="9" s="1"/>
  <c r="S40" i="9" a="1"/>
  <c r="S40" i="9" s="1"/>
  <c r="S25" i="9" a="1"/>
  <c r="S25" i="9" s="1"/>
  <c r="S36" i="9" a="1"/>
  <c r="S36" i="9" s="1"/>
  <c r="S41" i="9" a="1"/>
  <c r="S41" i="9" s="1"/>
  <c r="S22" i="9"/>
  <c r="S32" i="9" l="1"/>
  <c r="S42" i="9"/>
  <c r="S45" i="9"/>
  <c r="V2" i="9"/>
  <c r="W1" i="9"/>
  <c r="W2" i="9" s="1"/>
  <c r="U22" i="9"/>
  <c r="U3" i="9"/>
  <c r="T29" i="9" a="1"/>
  <c r="T29" i="9" s="1"/>
  <c r="T24" i="9" a="1"/>
  <c r="T24" i="9" s="1"/>
  <c r="T34" i="9" a="1"/>
  <c r="T34" i="9" s="1"/>
  <c r="T37" i="9" s="1"/>
  <c r="T41" i="9" a="1"/>
  <c r="T41" i="9" s="1"/>
  <c r="T30" i="9" a="1"/>
  <c r="T30" i="9" s="1"/>
  <c r="T40" i="9" a="1"/>
  <c r="T40" i="9" s="1"/>
  <c r="T28" i="9" a="1"/>
  <c r="T28" i="9" s="1"/>
  <c r="T48" i="9" a="1"/>
  <c r="T48" i="9" s="1"/>
  <c r="T26" i="9" a="1"/>
  <c r="T26" i="9" s="1"/>
  <c r="T31" i="9" a="1"/>
  <c r="T31" i="9" s="1"/>
  <c r="T44" i="9" a="1"/>
  <c r="T44" i="9" s="1"/>
  <c r="T47" i="9" a="1"/>
  <c r="T47" i="9" s="1"/>
  <c r="T25" i="9" a="1"/>
  <c r="T25" i="9" s="1"/>
  <c r="T27" i="9" a="1"/>
  <c r="T27" i="9" s="1"/>
  <c r="T35" i="9" a="1"/>
  <c r="T35" i="9" s="1"/>
  <c r="T36" i="9" a="1"/>
  <c r="T36" i="9" s="1"/>
  <c r="T39" i="9" a="1"/>
  <c r="T39" i="9" s="1"/>
  <c r="T42" i="9" s="1"/>
  <c r="T32" i="9" l="1"/>
  <c r="T45" i="9" s="1"/>
  <c r="U26" i="9" a="1"/>
  <c r="U26" i="9" s="1"/>
  <c r="U24" i="9" a="1"/>
  <c r="U24" i="9" s="1"/>
  <c r="U25" i="9" a="1"/>
  <c r="U25" i="9" s="1"/>
  <c r="U28" i="9" a="1"/>
  <c r="U28" i="9" s="1"/>
  <c r="U36" i="9" a="1"/>
  <c r="U36" i="9" s="1"/>
  <c r="U29" i="9" a="1"/>
  <c r="U29" i="9" s="1"/>
  <c r="U30" i="9" a="1"/>
  <c r="U30" i="9" s="1"/>
  <c r="U40" i="9" a="1"/>
  <c r="U40" i="9" s="1"/>
  <c r="U34" i="9" a="1"/>
  <c r="U34" i="9" s="1"/>
  <c r="U41" i="9" a="1"/>
  <c r="U41" i="9" s="1"/>
  <c r="U47" i="9" a="1"/>
  <c r="U47" i="9" s="1"/>
  <c r="U48" i="9" a="1"/>
  <c r="U48" i="9" s="1"/>
  <c r="U39" i="9" a="1"/>
  <c r="U39" i="9" s="1"/>
  <c r="U27" i="9" a="1"/>
  <c r="U27" i="9" s="1"/>
  <c r="U35" i="9" a="1"/>
  <c r="U35" i="9" s="1"/>
  <c r="U44" i="9" a="1"/>
  <c r="U44" i="9" s="1"/>
  <c r="U31" i="9" a="1"/>
  <c r="U31" i="9" s="1"/>
  <c r="W22" i="9"/>
  <c r="W3" i="9"/>
  <c r="V3" i="9"/>
  <c r="U37" i="9" l="1"/>
  <c r="U42" i="9"/>
  <c r="U32" i="9"/>
  <c r="U45" i="9" s="1"/>
  <c r="W39" i="9" a="1"/>
  <c r="W39" i="9" s="1"/>
  <c r="W30" i="9" a="1"/>
  <c r="W30" i="9" s="1"/>
  <c r="W27" i="9" a="1"/>
  <c r="W27" i="9" s="1"/>
  <c r="W44" i="9" a="1"/>
  <c r="W44" i="9" s="1"/>
  <c r="W34" i="9" a="1"/>
  <c r="W34" i="9" s="1"/>
  <c r="W37" i="9" s="1"/>
  <c r="W41" i="9" a="1"/>
  <c r="W41" i="9" s="1"/>
  <c r="W24" i="9" a="1"/>
  <c r="W24" i="9" s="1"/>
  <c r="W36" i="9" a="1"/>
  <c r="W36" i="9" s="1"/>
  <c r="W29" i="9" a="1"/>
  <c r="W29" i="9" s="1"/>
  <c r="W28" i="9" a="1"/>
  <c r="W28" i="9" s="1"/>
  <c r="W40" i="9" a="1"/>
  <c r="W40" i="9" s="1"/>
  <c r="H40" i="9" s="1"/>
  <c r="J40" i="9" s="1"/>
  <c r="W26" i="9" a="1"/>
  <c r="W26" i="9" s="1"/>
  <c r="W25" i="9" a="1"/>
  <c r="W25" i="9" s="1"/>
  <c r="W47" i="9" a="1"/>
  <c r="W47" i="9" s="1"/>
  <c r="W48" i="9" a="1"/>
  <c r="W48" i="9" s="1"/>
  <c r="W35" i="9" a="1"/>
  <c r="W35" i="9" s="1"/>
  <c r="H35" i="9" s="1"/>
  <c r="J35" i="9" s="1"/>
  <c r="W31" i="9" a="1"/>
  <c r="W31" i="9" s="1"/>
  <c r="H31" i="9" s="1"/>
  <c r="J31" i="9" s="1"/>
  <c r="V24" i="9" a="1"/>
  <c r="V24" i="9" s="1"/>
  <c r="H24" i="9" s="1"/>
  <c r="J24" i="9" s="1"/>
  <c r="V29" i="9" a="1"/>
  <c r="V29" i="9" s="1"/>
  <c r="H29" i="9" s="1"/>
  <c r="J29" i="9" s="1"/>
  <c r="V27" i="9" a="1"/>
  <c r="V27" i="9" s="1"/>
  <c r="H27" i="9" s="1"/>
  <c r="J27" i="9" s="1"/>
  <c r="V41" i="9" a="1"/>
  <c r="V41" i="9" s="1"/>
  <c r="H41" i="9" s="1"/>
  <c r="J41" i="9" s="1"/>
  <c r="V36" i="9" a="1"/>
  <c r="V36" i="9" s="1"/>
  <c r="V35" i="9" a="1"/>
  <c r="V35" i="9" s="1"/>
  <c r="V25" i="9" a="1"/>
  <c r="V25" i="9" s="1"/>
  <c r="V40" i="9" a="1"/>
  <c r="V40" i="9" s="1"/>
  <c r="V28" i="9" a="1"/>
  <c r="V28" i="9" s="1"/>
  <c r="H28" i="9" s="1"/>
  <c r="J28" i="9" s="1"/>
  <c r="V31" i="9" a="1"/>
  <c r="V31" i="9" s="1"/>
  <c r="V34" i="9" a="1"/>
  <c r="V34" i="9" s="1"/>
  <c r="V37" i="9" s="1"/>
  <c r="V44" i="9" a="1"/>
  <c r="V44" i="9" s="1"/>
  <c r="V39" i="9" a="1"/>
  <c r="V39" i="9" s="1"/>
  <c r="V42" i="9" s="1"/>
  <c r="V30" i="9" a="1"/>
  <c r="V30" i="9" s="1"/>
  <c r="H30" i="9" s="1"/>
  <c r="J30" i="9" s="1"/>
  <c r="V26" i="9" a="1"/>
  <c r="V26" i="9" s="1"/>
  <c r="H26" i="9" s="1"/>
  <c r="J26" i="9" s="1"/>
  <c r="V47" i="9" a="1"/>
  <c r="V47" i="9" s="1"/>
  <c r="V48" i="9" a="1"/>
  <c r="V48" i="9" s="1"/>
  <c r="V22" i="9"/>
  <c r="V32" i="9" l="1"/>
  <c r="V45" i="9" s="1"/>
  <c r="H34" i="9"/>
  <c r="H39" i="9"/>
  <c r="J39" i="9" s="1"/>
  <c r="H25" i="9"/>
  <c r="J25" i="9" s="1"/>
  <c r="H37" i="9"/>
  <c r="J37" i="9" s="1"/>
  <c r="J34" i="9"/>
  <c r="H42" i="9"/>
  <c r="J42" i="9" s="1"/>
  <c r="H32" i="9"/>
  <c r="J32" i="9" s="1"/>
  <c r="W32" i="9"/>
  <c r="W42" i="9"/>
  <c r="H36" i="9"/>
  <c r="J36" i="9" s="1"/>
  <c r="W45" i="9"/>
  <c r="H44" i="9"/>
  <c r="H45" i="9" l="1"/>
  <c r="J45" i="9" s="1"/>
  <c r="H48" i="9" l="1"/>
  <c r="J48" i="9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<sst xmlns="http://schemas.openxmlformats.org/spreadsheetml/2006/main" count="85" uniqueCount="83">
  <si>
    <t>As of</t>
  </si>
  <si>
    <t>Account code/range</t>
  </si>
  <si>
    <t>Net Income (Loss)</t>
  </si>
  <si>
    <t>Inventory</t>
  </si>
  <si>
    <t>Cash Flows from Investing Activities</t>
  </si>
  <si>
    <t>Net Cash provided by Investing Activities</t>
  </si>
  <si>
    <t>Cash Flows from Financing Activities</t>
  </si>
  <si>
    <t>Net Cash provided by Financing Activities</t>
  </si>
  <si>
    <t>Net Increase (Decrease) in Cash</t>
  </si>
  <si>
    <t>Cash - Beginning of Period</t>
  </si>
  <si>
    <t>Cash - End of Period</t>
  </si>
  <si>
    <t>Connection Name</t>
  </si>
  <si>
    <t>Fiscal Start Month</t>
  </si>
  <si>
    <t>Fiscal End Month</t>
  </si>
  <si>
    <t>Cash</t>
  </si>
  <si>
    <t>Velixo Report Template information</t>
  </si>
  <si>
    <t>This Information sheet provides you with useful information about this Template.</t>
  </si>
  <si>
    <t>Code</t>
  </si>
  <si>
    <t>Name</t>
  </si>
  <si>
    <t>ERP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</si>
  <si>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</si>
  <si>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</si>
  <si>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</si>
  <si>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</si>
  <si>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</si>
  <si>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</si>
  <si>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To retain context and history for this report, Velixo recommends that you don't delete this sheet and instead only hide it upon initial configuration.</t>
  </si>
  <si>
    <t>v1</t>
  </si>
  <si>
    <t>Start date</t>
  </si>
  <si>
    <t>End date</t>
  </si>
  <si>
    <t>BC</t>
  </si>
  <si>
    <t>Account subcategory</t>
  </si>
  <si>
    <t>Accounts Receivable</t>
  </si>
  <si>
    <t>Current Liabilities</t>
  </si>
  <si>
    <t>Prepaid Expenses</t>
  </si>
  <si>
    <t>Payroll Liabilities</t>
  </si>
  <si>
    <t>Equipment</t>
  </si>
  <si>
    <t>Accumulated Depreciation</t>
  </si>
  <si>
    <t>Long Term Liabilities</t>
  </si>
  <si>
    <t>Net Income subcategories</t>
  </si>
  <si>
    <t>Common Stock</t>
  </si>
  <si>
    <t>Income</t>
  </si>
  <si>
    <t>Multiplier</t>
  </si>
  <si>
    <t>Category</t>
  </si>
  <si>
    <t>Account validation</t>
  </si>
  <si>
    <t>DO NOT EDIT - USED IN CALCULATIONS</t>
  </si>
  <si>
    <t>Depreciation, Amortization</t>
  </si>
  <si>
    <t>Decrease (Increase) in Accounts Receivable</t>
  </si>
  <si>
    <t>Increase (Decrease) in Accounts Payable</t>
  </si>
  <si>
    <t>Increase (Decrease) in Tax Payable</t>
  </si>
  <si>
    <t>Decrease (Increase) in Inventories</t>
  </si>
  <si>
    <t>Increase (Decrease) in Other Operating Activities (Assets)</t>
  </si>
  <si>
    <t>Increase (Decrease) in Other Operating Activities (Liabilities)</t>
  </si>
  <si>
    <t>Net Cash provided by Operating Activities</t>
  </si>
  <si>
    <t>Capital Expenditures</t>
  </si>
  <si>
    <t>Investments</t>
  </si>
  <si>
    <t>Other Cash Flows from Investing Activities</t>
  </si>
  <si>
    <t>Dividends Paid</t>
  </si>
  <si>
    <t>Sale (Repurchase) of Stock</t>
  </si>
  <si>
    <t>Other cash Flows from Financing Activities</t>
  </si>
  <si>
    <t>Effect of Exchange Rate Changes</t>
  </si>
  <si>
    <t>Balance Sheet subcategories</t>
  </si>
  <si>
    <t>All categories</t>
  </si>
  <si>
    <t>Dimensions</t>
  </si>
  <si>
    <t>Dimension array</t>
  </si>
  <si>
    <t>Dimension values array</t>
  </si>
  <si>
    <t>Fiscal Start date</t>
  </si>
  <si>
    <t>Financial</t>
  </si>
  <si>
    <t>Dynamics 365 Business central</t>
  </si>
  <si>
    <t>DO NOT EDIT - FOR DIMENSION FILTERING</t>
  </si>
  <si>
    <t>Cash Flows from Operating Activities</t>
  </si>
  <si>
    <t>Full Year 
Actual + Budget</t>
  </si>
  <si>
    <t>Full Year
Forecast</t>
  </si>
  <si>
    <t>Variance</t>
  </si>
  <si>
    <t>Budget</t>
  </si>
  <si>
    <t>BC-GL-RT12</t>
  </si>
  <si>
    <t>Cash Flow Forecast (budget-based)</t>
  </si>
  <si>
    <t>https://community.velixo.com/en/support/solutions/articles/153000248106-bc-gl-rt12-cash-flow-forecast-budget-based-</t>
  </si>
  <si>
    <t>Cash Flow Forecast</t>
  </si>
  <si>
    <t>RefreshDataOnOpen</t>
  </si>
  <si>
    <t>Budget check</t>
  </si>
  <si>
    <t>2025-10-30T05:29:07.697Z</t>
  </si>
  <si>
    <t>VXPL2024;VXBS2024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</si>
</sst>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[$-C09]d\ mmmm\ yyyy;@"/>
    <numFmt numFmtId="166" formatCode="mmmm"/>
  </numFmts>
  <fonts count="25">
    <font>
      <sz val="12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theme="0"/>
      <name val="Aptos"/>
      <family val="2"/>
    </font>
    <font>
      <sz val="18"/>
      <color rgb="FF24326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b/>
      <sz val="8"/>
      <name val="Arial                         "/>
    </font>
    <font>
      <sz val="8"/>
      <name val="Arial                         "/>
    </font>
    <font>
      <b/>
      <sz val="10"/>
      <name val="Arial                         "/>
    </font>
    <font>
      <sz val="9"/>
      <name val="Tahoma"/>
      <family val="2"/>
    </font>
    <font>
      <sz val="11"/>
      <color theme="1"/>
      <name val="Aptos"/>
      <family val="2"/>
      <scheme val="major"/>
    </font>
    <font>
      <sz val="11"/>
      <name val="Aptos"/>
      <family val="2"/>
      <scheme val="major"/>
    </font>
    <font>
      <sz val="9"/>
      <color theme="1"/>
      <name val="Aptos"/>
      <family val="2"/>
      <scheme val="major"/>
    </font>
    <font>
      <sz val="18"/>
      <color rgb="FF243260"/>
      <name val="Aptos"/>
      <family val="2"/>
      <scheme val="major"/>
    </font>
    <font>
      <i/>
      <sz val="12"/>
      <color theme="1"/>
      <name val="Aptos"/>
      <family val="2"/>
      <scheme val="major"/>
    </font>
    <font>
      <b/>
      <sz val="11"/>
      <color theme="0"/>
      <name val="Aptos"/>
      <family val="2"/>
      <scheme val="major"/>
    </font>
    <font>
      <b/>
      <sz val="11"/>
      <name val="Aptos"/>
      <family val="2"/>
      <scheme val="major"/>
    </font>
    <font>
      <b/>
      <sz val="11"/>
      <color theme="1"/>
      <name val="Aptos"/>
      <family val="2"/>
      <scheme val="major"/>
    </font>
    <font>
      <sz val="11"/>
      <color theme="4" tint="-0.499984740745262"/>
      <name val="Aptos"/>
      <family val="2"/>
      <scheme val="major"/>
    </font>
    <font>
      <b/>
      <sz val="9"/>
      <color theme="1"/>
      <name val="Aptos"/>
      <family val="2"/>
    </font>
    <font>
      <b/>
      <sz val="11"/>
      <name val="Aptos"/>
      <family val="2"/>
    </font>
    <font>
      <sz val="9"/>
      <name val="Aptos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BEAFE"/>
      </left>
      <right style="thin">
        <color rgb="FFDBEAFE"/>
      </right>
      <top/>
      <bottom/>
      <diagonal/>
    </border>
    <border>
      <left style="thin">
        <color rgb="FFDBEAFE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DBEAFE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7" fillId="0" borderId="0" applyNumberFormat="0" applyFill="0" applyBorder="0" applyAlignment="0" applyProtection="0"/>
    <xf numFmtId="0" fontId="9" fillId="0" borderId="0">
      <alignment horizontal="left" vertical="top" wrapText="1"/>
    </xf>
    <xf numFmtId="0" fontId="10" fillId="0" borderId="0">
      <alignment horizontal="left" vertical="top" wrapText="1"/>
    </xf>
    <xf numFmtId="4" fontId="10" fillId="0" borderId="0">
      <alignment horizontal="right" vertical="top" wrapText="1"/>
    </xf>
    <xf numFmtId="4" fontId="9" fillId="0" borderId="0">
      <alignment horizontal="right" vertical="top" wrapText="1"/>
    </xf>
    <xf numFmtId="0" fontId="11" fillId="0" borderId="0">
      <alignment horizontal="left" vertical="top" wrapText="1"/>
    </xf>
    <xf numFmtId="4" fontId="11" fillId="0" borderId="0">
      <alignment horizontal="right" vertical="top" wrapText="1"/>
    </xf>
    <xf numFmtId="0" fontId="12" fillId="0" borderId="2"/>
    <xf numFmtId="43" fontId="2" fillId="0" borderId="0" applyFont="0" applyFill="0" applyBorder="0" applyAlignment="0" applyProtection="0"/>
  </cellStyleXfs>
  <cellXfs count="75">
    <xf numFmtId="0" fontId="0" fillId="0" borderId="0" xfId="0"/>
    <xf numFmtId="0" fontId="4" fillId="0" borderId="1" xfId="0" applyFont="1" applyBorder="1"/>
    <xf numFmtId="0" fontId="3" fillId="0" borderId="1" xfId="0" applyFont="1" applyBorder="1"/>
    <xf numFmtId="0" fontId="5" fillId="4" borderId="1" xfId="0" applyFont="1" applyFill="1" applyBorder="1"/>
    <xf numFmtId="0" fontId="6" fillId="0" borderId="0" xfId="0" applyFont="1"/>
    <xf numFmtId="0" fontId="8" fillId="0" borderId="0" xfId="0" applyFont="1"/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7" fillId="0" borderId="0" xfId="2"/>
    <xf numFmtId="166" fontId="3" fillId="0" borderId="1" xfId="0" applyNumberFormat="1" applyFont="1" applyBorder="1" applyAlignment="1">
      <alignment horizontal="left"/>
    </xf>
    <xf numFmtId="0" fontId="13" fillId="0" borderId="0" xfId="1" applyFont="1"/>
    <xf numFmtId="164" fontId="13" fillId="0" borderId="0" xfId="1" applyNumberFormat="1" applyFont="1"/>
    <xf numFmtId="14" fontId="15" fillId="0" borderId="0" xfId="1" applyNumberFormat="1" applyFont="1"/>
    <xf numFmtId="0" fontId="14" fillId="0" borderId="1" xfId="1" applyFont="1" applyBorder="1"/>
    <xf numFmtId="0" fontId="16" fillId="0" borderId="0" xfId="0" applyFont="1"/>
    <xf numFmtId="0" fontId="17" fillId="0" borderId="0" xfId="0" applyFont="1"/>
    <xf numFmtId="0" fontId="19" fillId="0" borderId="0" xfId="1" applyFont="1" applyAlignment="1">
      <alignment horizontal="center" vertical="center" wrapText="1"/>
    </xf>
    <xf numFmtId="0" fontId="14" fillId="0" borderId="0" xfId="0" applyFont="1"/>
    <xf numFmtId="0" fontId="14" fillId="0" borderId="0" xfId="1" applyFont="1"/>
    <xf numFmtId="0" fontId="20" fillId="0" borderId="0" xfId="1" applyFont="1"/>
    <xf numFmtId="0" fontId="14" fillId="3" borderId="1" xfId="1" applyFont="1" applyFill="1" applyBorder="1"/>
    <xf numFmtId="43" fontId="13" fillId="0" borderId="0" xfId="10" applyFont="1"/>
    <xf numFmtId="164" fontId="19" fillId="0" borderId="1" xfId="0" applyNumberFormat="1" applyFont="1" applyBorder="1" applyAlignment="1">
      <alignment horizontal="center" vertical="center" wrapText="1"/>
    </xf>
    <xf numFmtId="0" fontId="0" fillId="0" borderId="4" xfId="0" applyBorder="1"/>
    <xf numFmtId="0" fontId="21" fillId="0" borderId="1" xfId="1" applyFont="1" applyBorder="1" applyAlignment="1">
      <alignment horizontal="right"/>
    </xf>
    <xf numFmtId="0" fontId="21" fillId="0" borderId="1" xfId="1" applyFont="1" applyBorder="1"/>
    <xf numFmtId="0" fontId="22" fillId="0" borderId="0" xfId="1" applyFont="1" applyAlignment="1">
      <alignment horizontal="right"/>
    </xf>
    <xf numFmtId="0" fontId="13" fillId="3" borderId="0" xfId="0" quotePrefix="1" applyFont="1" applyFill="1" applyProtection="1">
      <protection locked="0"/>
    </xf>
    <xf numFmtId="0" fontId="14" fillId="0" borderId="3" xfId="1" applyFont="1" applyBorder="1"/>
    <xf numFmtId="0" fontId="19" fillId="0" borderId="0" xfId="4" applyFont="1" applyAlignment="1">
      <alignment horizontal="left" vertical="top"/>
    </xf>
    <xf numFmtId="164" fontId="13" fillId="0" borderId="0" xfId="0" applyNumberFormat="1" applyFont="1"/>
    <xf numFmtId="0" fontId="14" fillId="0" borderId="0" xfId="4" applyFont="1" applyAlignment="1">
      <alignment horizontal="left" vertical="top"/>
    </xf>
    <xf numFmtId="0" fontId="23" fillId="0" borderId="0" xfId="1" applyFont="1" applyAlignment="1">
      <alignment horizontal="center" vertical="center" wrapText="1"/>
    </xf>
    <xf numFmtId="0" fontId="13" fillId="0" borderId="1" xfId="1" applyFont="1" applyBorder="1"/>
    <xf numFmtId="164" fontId="14" fillId="0" borderId="0" xfId="0" quotePrefix="1" applyNumberFormat="1" applyFont="1" applyAlignment="1">
      <alignment horizontal="left"/>
    </xf>
    <xf numFmtId="0" fontId="13" fillId="0" borderId="0" xfId="0" quotePrefix="1" applyFont="1" applyProtection="1">
      <protection locked="0"/>
    </xf>
    <xf numFmtId="14" fontId="3" fillId="0" borderId="1" xfId="0" applyNumberFormat="1" applyFont="1" applyBorder="1" applyAlignment="1">
      <alignment horizontal="left"/>
    </xf>
    <xf numFmtId="0" fontId="23" fillId="0" borderId="0" xfId="1" applyFont="1" applyAlignment="1">
      <alignment horizontal="center" vertical="center"/>
    </xf>
    <xf numFmtId="0" fontId="19" fillId="0" borderId="0" xfId="3" applyFont="1" applyAlignment="1">
      <alignment vertical="top" wrapText="1"/>
    </xf>
    <xf numFmtId="0" fontId="14" fillId="0" borderId="0" xfId="4" applyFont="1" applyAlignment="1">
      <alignment horizontal="left" vertical="top" wrapText="1" indent="1"/>
    </xf>
    <xf numFmtId="0" fontId="14" fillId="0" borderId="0" xfId="4" applyFont="1" applyAlignment="1">
      <alignment horizontal="left" vertical="top" indent="1"/>
    </xf>
    <xf numFmtId="0" fontId="4" fillId="0" borderId="1" xfId="0" applyFont="1" applyBorder="1" applyAlignment="1">
      <alignment horizontal="center"/>
    </xf>
    <xf numFmtId="0" fontId="18" fillId="2" borderId="1" xfId="0" applyFont="1" applyFill="1" applyBorder="1"/>
    <xf numFmtId="0" fontId="20" fillId="0" borderId="1" xfId="1" applyFont="1" applyBorder="1"/>
    <xf numFmtId="0" fontId="13" fillId="0" borderId="0" xfId="1" applyFont="1" applyAlignment="1">
      <alignment horizontal="right"/>
    </xf>
    <xf numFmtId="0" fontId="20" fillId="0" borderId="0" xfId="1" applyFont="1" applyAlignment="1">
      <alignment horizontal="right"/>
    </xf>
    <xf numFmtId="14" fontId="13" fillId="3" borderId="1" xfId="0" applyNumberFormat="1" applyFont="1" applyFill="1" applyBorder="1" applyAlignment="1" applyProtection="1">
      <alignment horizontal="left"/>
      <protection locked="0"/>
    </xf>
    <xf numFmtId="0" fontId="13" fillId="0" borderId="1" xfId="0" applyFont="1" applyBorder="1"/>
    <xf numFmtId="0" fontId="15" fillId="0" borderId="0" xfId="1" applyFont="1"/>
    <xf numFmtId="0" fontId="24" fillId="0" borderId="1" xfId="1" quotePrefix="1" applyFont="1" applyBorder="1"/>
    <xf numFmtId="0" fontId="24" fillId="0" borderId="1" xfId="1" applyFont="1" applyBorder="1"/>
    <xf numFmtId="4" fontId="13" fillId="0" borderId="0" xfId="1" applyNumberFormat="1" applyFont="1"/>
    <xf numFmtId="43" fontId="13" fillId="0" borderId="0" xfId="1" applyNumberFormat="1" applyFont="1"/>
    <xf numFmtId="0" fontId="19" fillId="0" borderId="5" xfId="4" applyFont="1" applyBorder="1" applyAlignment="1">
      <alignment horizontal="left" vertical="top"/>
    </xf>
    <xf numFmtId="0" fontId="19" fillId="0" borderId="7" xfId="4" applyFont="1" applyBorder="1" applyAlignment="1">
      <alignment horizontal="left" vertical="top"/>
    </xf>
    <xf numFmtId="164" fontId="23" fillId="0" borderId="9" xfId="0" applyNumberFormat="1" applyFont="1" applyBorder="1" applyAlignment="1">
      <alignment horizontal="center" wrapText="1"/>
    </xf>
    <xf numFmtId="164" fontId="23" fillId="0" borderId="0" xfId="0" applyNumberFormat="1" applyFont="1" applyAlignment="1">
      <alignment horizontal="center" wrapText="1"/>
    </xf>
    <xf numFmtId="164" fontId="23" fillId="0" borderId="0" xfId="0" applyNumberFormat="1" applyFont="1" applyAlignment="1">
      <alignment horizontal="center"/>
    </xf>
    <xf numFmtId="0" fontId="18" fillId="2" borderId="0" xfId="0" applyFont="1" applyFill="1"/>
    <xf numFmtId="14" fontId="13" fillId="3" borderId="0" xfId="0" applyNumberFormat="1" applyFont="1" applyFill="1" applyAlignment="1" applyProtection="1">
      <alignment horizontal="left"/>
      <protection locked="0"/>
    </xf>
    <xf numFmtId="0" fontId="13" fillId="0" borderId="10" xfId="0" applyFont="1" applyBorder="1"/>
    <xf numFmtId="14" fontId="15" fillId="0" borderId="0" xfId="1" applyNumberFormat="1" applyFont="1" applyAlignment="1">
      <alignment horizontal="left"/>
    </xf>
    <xf numFmtId="0" fontId="19" fillId="0" borderId="0" xfId="1" applyFont="1" applyAlignment="1">
      <alignment horizontal="center" wrapText="1"/>
    </xf>
    <xf numFmtId="43" fontId="14" fillId="0" borderId="0" xfId="0" quotePrefix="1" applyNumberFormat="1" applyFont="1" applyAlignment="1">
      <alignment horizontal="left"/>
    </xf>
    <xf numFmtId="43" fontId="19" fillId="0" borderId="6" xfId="0" quotePrefix="1" applyNumberFormat="1" applyFont="1" applyBorder="1" applyAlignment="1">
      <alignment horizontal="left"/>
    </xf>
    <xf numFmtId="43" fontId="20" fillId="0" borderId="6" xfId="0" applyNumberFormat="1" applyFont="1" applyBorder="1" applyAlignment="1">
      <alignment horizontal="left"/>
    </xf>
    <xf numFmtId="43" fontId="13" fillId="0" borderId="0" xfId="0" applyNumberFormat="1" applyFont="1" applyAlignment="1">
      <alignment horizontal="left"/>
    </xf>
    <xf numFmtId="43" fontId="13" fillId="0" borderId="0" xfId="0" applyNumberFormat="1" applyFont="1"/>
    <xf numFmtId="43" fontId="19" fillId="0" borderId="8" xfId="0" quotePrefix="1" applyNumberFormat="1" applyFont="1" applyBorder="1" applyAlignment="1">
      <alignment horizontal="left"/>
    </xf>
    <xf numFmtId="43" fontId="20" fillId="0" borderId="11" xfId="1" applyNumberFormat="1" applyFont="1" applyBorder="1"/>
    <xf numFmtId="43" fontId="20" fillId="0" borderId="12" xfId="1" applyNumberFormat="1" applyFont="1" applyBorder="1"/>
    <xf numFmtId="43" fontId="20" fillId="0" borderId="13" xfId="1" applyNumberFormat="1" applyFont="1" applyBorder="1"/>
    <xf numFmtId="43" fontId="20" fillId="0" borderId="6" xfId="1" applyNumberFormat="1" applyFont="1" applyBorder="1"/>
    <xf numFmtId="0" fontId="4" fillId="0" borderId="0" xfId="1" applyFont="1" applyAlignment="1">
      <alignment horizontal="center"/>
    </xf>
    <xf numFmtId="0" fontId="20" fillId="0" borderId="0" xfId="1" applyFont="1" applyAlignment="1">
      <alignment horizontal="left"/>
    </xf>
  </cellXfs>
  <cellStyles count="11">
    <cellStyle name="Comma" xfId="10" builtinId="3"/>
    <cellStyle name="Hyperlink" xfId="2" builtinId="8"/>
    <cellStyle name="Normal" xfId="0" builtinId="0"/>
    <cellStyle name="Normal 2" xfId="1" xr:uid="{DD9F0F0D-F688-45A9-AB0E-67405798CF32}"/>
    <cellStyle name="Style 13" xfId="5" xr:uid="{62C51815-F017-49E4-BB79-3A4AE391BFFB}"/>
    <cellStyle name="Style 16" xfId="6" xr:uid="{6EC38A9D-81BD-416E-B4AB-3A37535C6BA8}"/>
    <cellStyle name="Style 18" xfId="8" xr:uid="{13A32139-6B55-4702-9FFD-73C6D2050022}"/>
    <cellStyle name="Style 19" xfId="9" xr:uid="{2B0213C4-316E-4FEF-9E6E-8537E788EE00}"/>
    <cellStyle name="Style 6" xfId="7" xr:uid="{0E7551D5-62B0-48AB-8C44-6D2D0F722B2A}"/>
    <cellStyle name="Style 7" xfId="4" xr:uid="{D7565634-09D6-4B85-8A65-DCB87A6E91BB}"/>
    <cellStyle name="Style 9" xfId="3" xr:uid="{D44DFAD8-F5D0-43D6-9E8F-100385C1BEB8}"/>
  </cellStyles>
  <dxfs count="4">
    <dxf>
      <font>
        <b/>
        <i val="0"/>
        <color theme="0"/>
      </font>
      <fill>
        <patternFill>
          <bgColor rgb="FF3769FF"/>
        </patternFill>
      </fill>
    </dxf>
    <dxf>
      <fill>
        <patternFill>
          <bgColor rgb="FFDBEAFE"/>
        </patternFill>
      </fill>
    </dxf>
    <dxf>
      <font>
        <color rgb="FFC00000"/>
      </font>
    </dxf>
    <dxf>
      <fill>
        <patternFill>
          <bgColor rgb="FFEEF6FF"/>
        </patternFill>
      </fill>
    </dxf>
  </dxfs>
  <tableStyles count="0" defaultTableStyle="TableStyleMedium2" defaultPivotStyle="PivotStyleLight16"/>
  <colors>
    <mruColors>
      <color rgb="FFDBEAFE"/>
      <color rgb="FF3769FF"/>
      <color rgb="FFEEF6FF"/>
      <color rgb="FF606D9B"/>
      <color rgb="FF2432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161925</xdr:colOff>
      <xdr:row>6</xdr:row>
      <xdr:rowOff>47625</xdr:rowOff>
    </xdr:from>
    <xdr:to>
      <xdr:col>15</xdr:col>
      <xdr:colOff>502585</xdr:colOff>
      <xdr:row>8</xdr:row>
      <xdr:rowOff>76657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DA037D-04B5-444E-A5EB-10403828A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0425" y="47625"/>
          <a:ext cx="2074210" cy="52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276225</xdr:colOff>
      <xdr:row>0</xdr:row>
      <xdr:rowOff>47625</xdr:rowOff>
    </xdr:from>
    <xdr:to>
      <xdr:col>7</xdr:col>
      <xdr:colOff>150160</xdr:colOff>
      <xdr:row>2</xdr:row>
      <xdr:rowOff>76657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845D3E-3198-4C9F-B5AB-3EE3015AC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44275" y="47625"/>
          <a:ext cx="2045635" cy="5243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mmunity.velixo.com/en/support/solutions/articles/153000248106-bc-gl-rt12-cash-flow-forecast-budget-based-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ED31C-F2F2-4AEA-B35F-B2718A734DD1}">
  <sheetPr>
    <tabColor rgb="FF3366FF"/>
    <pageSetUpPr autoPageBreaks="0" fitToPage="1"/>
  </sheetPr>
  <dimension ref="A1:Z273"/>
  <sheetViews>
    <sheetView showGridLines="0" tabSelected="1" topLeftCell="F7" zoomScaleNormal="100" zoomScaleSheetLayoutView="50" workbookViewId="0">
      <pane xSplit="1" ySplit="16" topLeftCell="G23" activePane="bottomRight" state="frozen"/>
      <selection activeCell="F7" sqref="F7"/>
      <selection pane="topRight" activeCell="G7" sqref="G7"/>
      <selection pane="bottomLeft" activeCell="F23" sqref="F23"/>
      <selection pane="bottomRight" activeCell="F7" sqref="F7"/>
    </sheetView>
  </sheetViews>
  <sheetFormatPr defaultColWidth="9.1171875" defaultRowHeight="14.25" outlineLevelRow="1" outlineLevelCol="1"/>
  <cols>
    <col min="1" max="1" width="8.234375" style="10" hidden="1" customWidth="1"/>
    <col min="2" max="2" width="15.1171875" style="10" hidden="1" customWidth="1"/>
    <col min="3" max="3" width="44.64453125" style="10" hidden="1" customWidth="1"/>
    <col min="4" max="4" width="27.3515625" style="10" hidden="1" customWidth="1" outlineLevel="1"/>
    <col min="5" max="5" width="14.1171875" style="13" hidden="1" customWidth="1" outlineLevel="1"/>
    <col min="6" max="6" width="49.234375" style="19" customWidth="1" collapsed="1"/>
    <col min="7" max="7" width="15.64453125" style="11" customWidth="1"/>
    <col min="8" max="8" width="15.64453125" style="11" customWidth="1" collapsed="1"/>
    <col min="9" max="10" width="15.64453125" style="10" customWidth="1"/>
    <col min="11" max="11" width="0.76171875" style="10" customWidth="1"/>
    <col min="12" max="23" width="10.64453125" style="10" customWidth="1"/>
    <col min="24" max="16384" width="9.1171875" style="10"/>
  </cols>
  <sheetData>
    <row r="1" spans="1:26" s="48" customFormat="1" ht="12" hidden="1" outlineLevel="1">
      <c r="E1" s="49"/>
      <c r="F1" s="26" t="s">
        <v>28</v>
      </c>
      <c r="G1" s="61">
        <f>IF(G2&lt;Options!D2,DATE(YEAR(Options!D2)-1,MONTH(Options!D2),DAY(Options!D2)),Options!D2)</f>
        <v>45292</v>
      </c>
      <c r="H1" s="61">
        <f>G1</f>
        <v>45292</v>
      </c>
      <c r="I1" s="12"/>
      <c r="J1" s="12"/>
      <c r="K1" s="12"/>
      <c r="L1" s="61">
        <f>G1</f>
        <v>45292</v>
      </c>
      <c r="M1" s="61">
        <f>EDATE(L1,1)</f>
        <v>45323</v>
      </c>
      <c r="N1" s="61">
        <f t="shared" ref="N1:W1" si="0">EDATE(M1,1)</f>
        <v>45352</v>
      </c>
      <c r="O1" s="61">
        <f t="shared" si="0"/>
        <v>45383</v>
      </c>
      <c r="P1" s="61">
        <f t="shared" si="0"/>
        <v>45413</v>
      </c>
      <c r="Q1" s="61">
        <f t="shared" si="0"/>
        <v>45444</v>
      </c>
      <c r="R1" s="61">
        <f t="shared" si="0"/>
        <v>45474</v>
      </c>
      <c r="S1" s="61">
        <f t="shared" si="0"/>
        <v>45505</v>
      </c>
      <c r="T1" s="61">
        <f t="shared" si="0"/>
        <v>45536</v>
      </c>
      <c r="U1" s="61">
        <f t="shared" si="0"/>
        <v>45566</v>
      </c>
      <c r="V1" s="61">
        <f t="shared" si="0"/>
        <v>45597</v>
      </c>
      <c r="W1" s="61">
        <f t="shared" si="0"/>
        <v>45627</v>
      </c>
      <c r="X1" s="61"/>
      <c r="Y1" s="61"/>
      <c r="Z1" s="61"/>
    </row>
    <row r="2" spans="1:26" s="48" customFormat="1" ht="12" hidden="1" outlineLevel="1">
      <c r="E2" s="50"/>
      <c r="F2" s="26" t="s">
        <v>29</v>
      </c>
      <c r="G2" s="61" cm="1">
        <f t="array" ref="G2">IF($G$19="",_xll.TODAYNV(),$G$19)</f>
        <v>45473</v>
      </c>
      <c r="H2" s="61">
        <f>EOMONTH(H1,11)</f>
        <v>45657</v>
      </c>
      <c r="I2" s="12"/>
      <c r="J2" s="12"/>
      <c r="K2" s="12"/>
      <c r="L2" s="61">
        <f>EOMONTH(L1,0)</f>
        <v>45322</v>
      </c>
      <c r="M2" s="61">
        <f>EOMONTH(M1,0)</f>
        <v>45351</v>
      </c>
      <c r="N2" s="61">
        <f t="shared" ref="N2:W2" si="1">EOMONTH(N1,0)</f>
        <v>45382</v>
      </c>
      <c r="O2" s="61">
        <f t="shared" si="1"/>
        <v>45412</v>
      </c>
      <c r="P2" s="61">
        <f t="shared" si="1"/>
        <v>45443</v>
      </c>
      <c r="Q2" s="61">
        <f t="shared" si="1"/>
        <v>45473</v>
      </c>
      <c r="R2" s="61">
        <f t="shared" si="1"/>
        <v>45504</v>
      </c>
      <c r="S2" s="61">
        <f t="shared" si="1"/>
        <v>45535</v>
      </c>
      <c r="T2" s="61">
        <f t="shared" si="1"/>
        <v>45565</v>
      </c>
      <c r="U2" s="61">
        <f t="shared" si="1"/>
        <v>45596</v>
      </c>
      <c r="V2" s="61">
        <f t="shared" si="1"/>
        <v>45626</v>
      </c>
      <c r="W2" s="61">
        <f t="shared" si="1"/>
        <v>45657</v>
      </c>
      <c r="X2" s="61"/>
      <c r="Y2" s="61"/>
      <c r="Z2" s="61"/>
    </row>
    <row r="3" spans="1:26" s="48" customFormat="1" ht="12" hidden="1" outlineLevel="1">
      <c r="E3" s="50"/>
      <c r="F3" s="26" t="s">
        <v>80</v>
      </c>
      <c r="G3" s="61" t="b" cm="1">
        <f t="array" ref="G3">IF(Options!K$2&lt;&gt;"",OR(ISNUMBER(MATCH(_xll.VXTEXTSPLIT($G$20,";"),_xlfn.ANCHORARRAY(Options!$K$2),0))),FALSE)</f>
        <v>1</v>
      </c>
      <c r="H3" s="61"/>
      <c r="I3" s="12"/>
      <c r="J3" s="12"/>
      <c r="K3" s="12"/>
      <c r="L3" s="61" t="str">
        <f>IF($G$2&lt;L$2,"Budget","Actual")</f>
        <v>Actual</v>
      </c>
      <c r="M3" s="61" t="str">
        <f t="shared" ref="M3:W3" si="2">IF($G$2&lt;M$2,"Budget","Actual")</f>
        <v>Actual</v>
      </c>
      <c r="N3" s="61" t="str">
        <f t="shared" si="2"/>
        <v>Actual</v>
      </c>
      <c r="O3" s="61" t="str">
        <f t="shared" si="2"/>
        <v>Actual</v>
      </c>
      <c r="P3" s="61" t="str">
        <f t="shared" si="2"/>
        <v>Actual</v>
      </c>
      <c r="Q3" s="61" t="str">
        <f t="shared" si="2"/>
        <v>Actual</v>
      </c>
      <c r="R3" s="61" t="str">
        <f t="shared" si="2"/>
        <v>Budget</v>
      </c>
      <c r="S3" s="61" t="str">
        <f t="shared" si="2"/>
        <v>Budget</v>
      </c>
      <c r="T3" s="61" t="str">
        <f t="shared" si="2"/>
        <v>Budget</v>
      </c>
      <c r="U3" s="61" t="str">
        <f t="shared" si="2"/>
        <v>Budget</v>
      </c>
      <c r="V3" s="61" t="str">
        <f t="shared" si="2"/>
        <v>Budget</v>
      </c>
      <c r="W3" s="61" t="str">
        <f t="shared" si="2"/>
        <v>Budget</v>
      </c>
      <c r="X3" s="61"/>
      <c r="Y3" s="61"/>
      <c r="Z3" s="61"/>
    </row>
    <row r="4" spans="1:26" s="48" customFormat="1" ht="12" hidden="1" outlineLevel="1">
      <c r="E4" s="50"/>
      <c r="F4" s="26" t="s">
        <v>64</v>
      </c>
      <c r="G4" s="12" t="str" cm="1">
        <f t="array" ref="G4">IFERROR(TRANSPOSE(_xlfn._xlws.FILTER($B$9:$B$18,$G$9:$G$18&lt;&gt;"")),"")</f>
        <v/>
      </c>
      <c r="H4" s="12"/>
      <c r="I4" s="12"/>
      <c r="J4" s="12"/>
      <c r="K4" s="12"/>
    </row>
    <row r="5" spans="1:26" s="48" customFormat="1" ht="12" hidden="1" outlineLevel="1">
      <c r="E5" s="50"/>
      <c r="F5" s="26" t="s">
        <v>65</v>
      </c>
      <c r="G5" s="12" t="str" cm="1">
        <f t="array" ref="G5">IFERROR(TRANSPOSE(_xlfn._xlws.FILTER($G$9:$G$18,$G$9:$G$18&lt;&gt;"")),"")</f>
        <v/>
      </c>
      <c r="H5" s="12"/>
      <c r="I5" s="12"/>
      <c r="J5" s="12"/>
      <c r="K5" s="12"/>
    </row>
    <row r="6" spans="1:26" hidden="1" outlineLevel="1">
      <c r="F6" s="26"/>
      <c r="G6" s="12"/>
      <c r="H6" s="12"/>
      <c r="I6" s="12"/>
      <c r="J6" s="12"/>
      <c r="K6" s="12"/>
    </row>
    <row r="7" spans="1:26" ht="23.25" collapsed="1">
      <c r="F7" s="14" t="s">
        <v>78</v>
      </c>
      <c r="G7" s="12"/>
    </row>
    <row r="8" spans="1:26" ht="15.75">
      <c r="A8" s="74" t="s">
        <v>69</v>
      </c>
      <c r="B8" s="74"/>
      <c r="F8" s="15"/>
    </row>
    <row r="9" spans="1:26">
      <c r="A9" s="10">
        <f t="shared" ref="A9:A18" si="3">IF(B9="",0,1)</f>
        <v>1</v>
      </c>
      <c r="B9" s="47" t="str" cm="1">
        <f t="array" ref="B9:B15">TRANSPOSE(_xlfn.ANCHORARRAY(Options!N1))</f>
        <v>AREA</v>
      </c>
      <c r="E9" s="25"/>
      <c r="F9" s="42" t="str" cm="1">
        <f t="array" ref="F9:F15">_xll.BC.DIMENSIONNAME(Connection,_xlfn.ANCHORARRAY(B9))</f>
        <v>Area</v>
      </c>
      <c r="G9" s="46"/>
      <c r="H9" s="10"/>
    </row>
    <row r="10" spans="1:26">
      <c r="A10" s="10">
        <f t="shared" si="3"/>
        <v>1</v>
      </c>
      <c r="B10" s="47" t="str">
        <v>BUSINESSGROUP</v>
      </c>
      <c r="E10" s="25"/>
      <c r="F10" s="42" t="str">
        <v>Business Group</v>
      </c>
      <c r="G10" s="46"/>
      <c r="H10" s="10"/>
    </row>
    <row r="11" spans="1:26">
      <c r="A11" s="10">
        <f t="shared" si="3"/>
        <v>1</v>
      </c>
      <c r="B11" s="47" t="str">
        <v>CUSTOMERGROUP</v>
      </c>
      <c r="E11" s="25"/>
      <c r="F11" s="42" t="str">
        <v>Customer Group</v>
      </c>
      <c r="G11" s="46"/>
      <c r="H11" s="10"/>
    </row>
    <row r="12" spans="1:26">
      <c r="A12" s="10">
        <f t="shared" si="3"/>
        <v>1</v>
      </c>
      <c r="B12" s="47" t="str">
        <v>DEPARTMENT</v>
      </c>
      <c r="E12" s="25"/>
      <c r="F12" s="42" t="str">
        <v>Department</v>
      </c>
      <c r="G12" s="46"/>
      <c r="H12" s="10"/>
    </row>
    <row r="13" spans="1:26">
      <c r="A13" s="10">
        <f t="shared" si="3"/>
        <v>1</v>
      </c>
      <c r="B13" s="47" t="str">
        <v>PURCHASER</v>
      </c>
      <c r="E13" s="25"/>
      <c r="F13" s="42" t="str">
        <v>Purchaser</v>
      </c>
      <c r="G13" s="46"/>
      <c r="H13" s="10"/>
    </row>
    <row r="14" spans="1:26">
      <c r="A14" s="10">
        <f t="shared" si="3"/>
        <v>1</v>
      </c>
      <c r="B14" s="47" t="str">
        <v>SALESCAMPAIGN</v>
      </c>
      <c r="E14" s="25"/>
      <c r="F14" s="42" t="str">
        <v>Sales campaign</v>
      </c>
      <c r="G14" s="46"/>
      <c r="H14" s="10"/>
      <c r="I14" s="51"/>
      <c r="J14" s="52"/>
    </row>
    <row r="15" spans="1:26">
      <c r="A15" s="10">
        <f t="shared" si="3"/>
        <v>1</v>
      </c>
      <c r="B15" s="47" t="str">
        <v>SALESPERSON</v>
      </c>
      <c r="E15" s="25"/>
      <c r="F15" s="42" t="str">
        <v>Salesperson</v>
      </c>
      <c r="G15" s="46"/>
      <c r="H15" s="10"/>
    </row>
    <row r="16" spans="1:26" hidden="1">
      <c r="A16" s="10">
        <f t="shared" si="3"/>
        <v>0</v>
      </c>
      <c r="B16" s="47"/>
      <c r="E16" s="25"/>
      <c r="F16" s="42"/>
      <c r="G16" s="46"/>
      <c r="H16" s="10"/>
    </row>
    <row r="17" spans="1:23" hidden="1">
      <c r="A17" s="10">
        <f t="shared" si="3"/>
        <v>0</v>
      </c>
      <c r="B17" s="47"/>
      <c r="E17" s="25"/>
      <c r="F17" s="42"/>
      <c r="G17" s="46"/>
      <c r="H17" s="10"/>
    </row>
    <row r="18" spans="1:23" hidden="1">
      <c r="A18" s="10">
        <f t="shared" si="3"/>
        <v>0</v>
      </c>
      <c r="B18" s="47"/>
      <c r="E18" s="24"/>
      <c r="F18" s="42"/>
      <c r="G18" s="46"/>
      <c r="H18" s="10"/>
    </row>
    <row r="19" spans="1:23">
      <c r="E19" s="25"/>
      <c r="F19" s="42" t="s">
        <v>0</v>
      </c>
      <c r="G19" s="46">
        <v>45473</v>
      </c>
      <c r="H19" s="10"/>
    </row>
    <row r="20" spans="1:23">
      <c r="E20" s="25"/>
      <c r="F20" s="58" t="s">
        <v>74</v>
      </c>
      <c r="G20" s="59" t="s">
        <v>82</v>
      </c>
      <c r="H20" s="10"/>
    </row>
    <row r="21" spans="1:23">
      <c r="A21" s="73" t="s">
        <v>45</v>
      </c>
      <c r="B21" s="73"/>
      <c r="C21" s="73"/>
      <c r="F21" s="10"/>
      <c r="G21" s="10"/>
      <c r="H21" s="10"/>
    </row>
    <row r="22" spans="1:23" s="18" customFormat="1" ht="27.75" customHeight="1">
      <c r="A22" s="37" t="s">
        <v>42</v>
      </c>
      <c r="B22" s="37" t="s">
        <v>43</v>
      </c>
      <c r="C22" s="32" t="s">
        <v>44</v>
      </c>
      <c r="D22" s="16" t="s">
        <v>31</v>
      </c>
      <c r="E22" s="22" t="s">
        <v>1</v>
      </c>
      <c r="F22" s="17"/>
      <c r="G22" s="55" t="str">
        <f>TEXT(G2,"Mmm YYY")&amp;" 
YTD Actuals"</f>
        <v>Jun 2024 
YTD Actuals</v>
      </c>
      <c r="H22" s="56" t="s">
        <v>71</v>
      </c>
      <c r="I22" s="55" t="s">
        <v>72</v>
      </c>
      <c r="J22" s="57" t="s">
        <v>73</v>
      </c>
      <c r="K22" s="60"/>
      <c r="L22" s="62" t="str">
        <f>TEXT(L2,"Mmm YYYY")&amp;" "&amp;L3</f>
        <v>Jan 2024 Actual</v>
      </c>
      <c r="M22" s="62" t="str">
        <f t="shared" ref="M22:W22" si="4">TEXT(M2,"Mmm YYYY")&amp;" "&amp;M3</f>
        <v>Feb 2024 Actual</v>
      </c>
      <c r="N22" s="62" t="str">
        <f t="shared" si="4"/>
        <v>Mar 2024 Actual</v>
      </c>
      <c r="O22" s="62" t="str">
        <f t="shared" si="4"/>
        <v>Apr 2024 Actual</v>
      </c>
      <c r="P22" s="62" t="str">
        <f t="shared" si="4"/>
        <v>May 2024 Actual</v>
      </c>
      <c r="Q22" s="62" t="str">
        <f t="shared" si="4"/>
        <v>Jun 2024 Actual</v>
      </c>
      <c r="R22" s="62" t="str">
        <f t="shared" si="4"/>
        <v>Jul 2024 Budget</v>
      </c>
      <c r="S22" s="62" t="str">
        <f t="shared" si="4"/>
        <v>Aug 2024 Budget</v>
      </c>
      <c r="T22" s="62" t="str">
        <f t="shared" si="4"/>
        <v>Sep 2024 Budget</v>
      </c>
      <c r="U22" s="62" t="str">
        <f t="shared" si="4"/>
        <v>Oct 2024 Budget</v>
      </c>
      <c r="V22" s="62" t="str">
        <f t="shared" si="4"/>
        <v>Nov 2024 Budget</v>
      </c>
      <c r="W22" s="62" t="str">
        <f t="shared" si="4"/>
        <v>Dec 2024 Budget</v>
      </c>
    </row>
    <row r="23" spans="1:23" s="19" customFormat="1">
      <c r="B23" s="10"/>
      <c r="C23" s="10"/>
      <c r="E23" s="28"/>
      <c r="F23" s="38" t="s">
        <v>70</v>
      </c>
      <c r="G23" s="34"/>
      <c r="H23" s="34"/>
      <c r="I23" s="34"/>
      <c r="J23" s="34"/>
      <c r="K23" s="60"/>
    </row>
    <row r="24" spans="1:23">
      <c r="A24" s="10" cm="1">
        <f t="array" ref="A24">_xlfn.IFS(
 B24="","",
 B24="Assets",1,
 B24="Liabilities",-1,
 B24="Equity",-1,
 B24="Income",-1,
 B24="Cost of Goods Sold",1,
 B24="Expense",1)</f>
        <v>-1</v>
      </c>
      <c r="B24" s="10" t="str" cm="1">
        <f t="array" ref="B24">IF(C24="","",_xlfn.UNIQUE(_xll.BC.ACCOUNTCATEGORY(Connection,_xll.VXTEXTSPLIT(C24,";"))))</f>
        <v>Income</v>
      </c>
      <c r="C24" s="44" t="str" cm="1">
        <f t="array" ref="C24">_xlfn.IFS(
AND(D24="",E24=""),"",
E24&lt;&gt;"",_xlfn.TEXTJOIN(";",TRUE,_xll.BC.EXPANDACCOUNTRANGE(Connection,E24,,,"P")),
D24&lt;&gt;"",_xlfn.TEXTJOIN(";",TRUE,_xll.BC.EXPANDACCOUNTRANGE(Connection,,,D24,"P")))</f>
        <v>9110;9120;9130;9135;9140;9150;9160;9170;9310;9330;9410</v>
      </c>
      <c r="D24" s="20" t="s">
        <v>41</v>
      </c>
      <c r="E24" s="20"/>
      <c r="F24" s="39" t="s">
        <v>2</v>
      </c>
      <c r="G24" s="63" cm="1">
        <f t="array" ref="G24">IF($C24="",0,-_xll.BC.TURNOVER(Connection,,PLAcctCategories,,G$1,G$2,_xlfn.HSTACK(Dim_array,DimValues_array)))</f>
        <v>133120.01999999999</v>
      </c>
      <c r="H24" s="63">
        <f>SUM(L24:W24)</f>
        <v>10925475.609999999</v>
      </c>
      <c r="I24" s="63" cm="1">
        <f t="array" ref="I24">IF($C24="",0,IF($G$3=FALSE,0,_xll.BC.BUDGETTURNOVER(Connection,,PLAcctCategories,,$G$20,H$1,H$2,_xlfn.HSTACK(Dim_array,DimValues_array))))</f>
        <v>18577529.530000001</v>
      </c>
      <c r="J24" s="63">
        <f>IF(H24="","",IFERROR(H24-I24,""))</f>
        <v>-7652053.9200000018</v>
      </c>
      <c r="K24" s="60"/>
      <c r="L24" s="21" cm="1">
        <f t="array" ref="L24">_xlfn.IFS(
L$3="Actual",IF($C24="",0,-_xll.BC.TURNOVER(Connection,,PLAcctCategories,,L$1,L$2,_xlfn.HSTACK(Dim_array,DimValues_array))),
L$3="Budget",IF($C24="",0,IF($G$3=FALSE,0,_xll.BC.BUDGETTURNOVER(Connection,,PLAcctCategories,,$G$20,L$1,L$2,_xlfn.HSTACK(Dim_array,DimValues_array)))))</f>
        <v>18053.25</v>
      </c>
      <c r="M24" s="21" cm="1">
        <f t="array" ref="M24">_xlfn.IFS(
M$3="Actual",IF($C24="",0,-_xll.BC.TURNOVER(Connection,,PLAcctCategories,,M$1,M$2,_xlfn.HSTACK(Dim_array,DimValues_array))),
M$3="Budget",IF($C24="",0,IF($G$3=FALSE,0,_xll.BC.BUDGETTURNOVER(Connection,,PLAcctCategories,,$G$20,M$1,M$2,_xlfn.HSTACK(Dim_array,DimValues_array)))))</f>
        <v>22101.26</v>
      </c>
      <c r="N24" s="21" cm="1">
        <f t="array" ref="N24">_xlfn.IFS(
N$3="Actual",IF($C24="",0,-_xll.BC.TURNOVER(Connection,,PLAcctCategories,,N$1,N$2,_xlfn.HSTACK(Dim_array,DimValues_array))),
N$3="Budget",IF($C24="",0,IF($G$3=FALSE,0,_xll.BC.BUDGETTURNOVER(Connection,,PLAcctCategories,,$G$20,N$1,N$2,_xlfn.HSTACK(Dim_array,DimValues_array)))))</f>
        <v>23449.09</v>
      </c>
      <c r="O24" s="21" cm="1">
        <f t="array" ref="O24">_xlfn.IFS(
O$3="Actual",IF($C24="",0,-_xll.BC.TURNOVER(Connection,,PLAcctCategories,,O$1,O$2,_xlfn.HSTACK(Dim_array,DimValues_array))),
O$3="Budget",IF($C24="",0,IF($G$3=FALSE,0,_xll.BC.BUDGETTURNOVER(Connection,,PLAcctCategories,,$G$20,O$1,O$2,_xlfn.HSTACK(Dim_array,DimValues_array)))))</f>
        <v>16088.73</v>
      </c>
      <c r="P24" s="21" cm="1">
        <f t="array" ref="P24">_xlfn.IFS(
P$3="Actual",IF($C24="",0,-_xll.BC.TURNOVER(Connection,,PLAcctCategories,,P$1,P$2,_xlfn.HSTACK(Dim_array,DimValues_array))),
P$3="Budget",IF($C24="",0,IF($G$3=FALSE,0,_xll.BC.BUDGETTURNOVER(Connection,,PLAcctCategories,,$G$20,P$1,P$2,_xlfn.HSTACK(Dim_array,DimValues_array)))))</f>
        <v>16448.57</v>
      </c>
      <c r="Q24" s="21" cm="1">
        <f t="array" ref="Q24">_xlfn.IFS(
Q$3="Actual",IF($C24="",0,-_xll.BC.TURNOVER(Connection,,PLAcctCategories,,Q$1,Q$2,_xlfn.HSTACK(Dim_array,DimValues_array))),
Q$3="Budget",IF($C24="",0,IF($G$3=FALSE,0,_xll.BC.BUDGETTURNOVER(Connection,,PLAcctCategories,,$G$20,Q$1,Q$2,_xlfn.HSTACK(Dim_array,DimValues_array)))))</f>
        <v>36979.120000000003</v>
      </c>
      <c r="R24" s="21" cm="1">
        <f t="array" ref="R24">_xlfn.IFS(
R$3="Actual",IF($C24="",0,-_xll.BC.TURNOVER(Connection,,PLAcctCategories,,R$1,R$2,_xlfn.HSTACK(Dim_array,DimValues_array))),
R$3="Budget",IF($C24="",0,IF($G$3=FALSE,0,_xll.BC.BUDGETTURNOVER(Connection,,PLAcctCategories,,$G$20,R$1,R$2,_xlfn.HSTACK(Dim_array,DimValues_array)))))</f>
        <v>1593157.25</v>
      </c>
      <c r="S24" s="21" cm="1">
        <f t="array" ref="S24">_xlfn.IFS(
S$3="Actual",IF($C24="",0,-_xll.BC.TURNOVER(Connection,,PLAcctCategories,,S$1,S$2,_xlfn.HSTACK(Dim_array,DimValues_array))),
S$3="Budget",IF($C24="",0,IF($G$3=FALSE,0,_xll.BC.BUDGETTURNOVER(Connection,,PLAcctCategories,,$G$20,S$1,S$2,_xlfn.HSTACK(Dim_array,DimValues_array)))))</f>
        <v>1644549.43</v>
      </c>
      <c r="T24" s="21" cm="1">
        <f t="array" ref="T24">_xlfn.IFS(
T$3="Actual",IF($C24="",0,-_xll.BC.TURNOVER(Connection,,PLAcctCategories,,T$1,T$2,_xlfn.HSTACK(Dim_array,DimValues_array))),
T$3="Budget",IF($C24="",0,IF($G$3=FALSE,0,_xll.BC.BUDGETTURNOVER(Connection,,PLAcctCategories,,$G$20,T$1,T$2,_xlfn.HSTACK(Dim_array,DimValues_array)))))</f>
        <v>1747333.76</v>
      </c>
      <c r="U24" s="21" cm="1">
        <f t="array" ref="U24">_xlfn.IFS(
U$3="Actual",IF($C24="",0,-_xll.BC.TURNOVER(Connection,,PLAcctCategories,,U$1,U$2,_xlfn.HSTACK(Dim_array,DimValues_array))),
U$3="Budget",IF($C24="",0,IF($G$3=FALSE,0,_xll.BC.BUDGETTURNOVER(Connection,,PLAcctCategories,,$G$20,U$1,U$2,_xlfn.HSTACK(Dim_array,DimValues_array)))))</f>
        <v>1850118.1</v>
      </c>
      <c r="V24" s="21" cm="1">
        <f t="array" ref="V24">_xlfn.IFS(
V$3="Actual",IF($C24="",0,-_xll.BC.TURNOVER(Connection,,PLAcctCategories,,V$1,V$2,_xlfn.HSTACK(Dim_array,DimValues_array))),
V$3="Budget",IF($C24="",0,IF($G$3=FALSE,0,_xll.BC.BUDGETTURNOVER(Connection,,PLAcctCategories,,$G$20,V$1,V$2,_xlfn.HSTACK(Dim_array,DimValues_array)))))</f>
        <v>1952902.44</v>
      </c>
      <c r="W24" s="21" cm="1">
        <f t="array" ref="W24">_xlfn.IFS(
W$3="Actual",IF($C24="",0,-_xll.BC.TURNOVER(Connection,,PLAcctCategories,,W$1,W$2,_xlfn.HSTACK(Dim_array,DimValues_array))),
W$3="Budget",IF($C24="",0,IF($G$3=FALSE,0,_xll.BC.BUDGETTURNOVER(Connection,,PLAcctCategories,,$G$20,W$1,W$2,_xlfn.HSTACK(Dim_array,DimValues_array)))))</f>
        <v>2004294.61</v>
      </c>
    </row>
    <row r="25" spans="1:23">
      <c r="A25" s="10" cm="1">
        <f t="array" ref="A25">_xlfn.IFS(
 B25="","",
 B25="Assets",1,
 B25="Liabilities",-1,
 B25="Equity",-1,
 B25="Income",-1,
 B25="Cost of Goods Sold",1,
 B25="Expense",1)</f>
        <v>1</v>
      </c>
      <c r="B25" s="10" t="str" cm="1">
        <f t="array" ref="B25">IF(C25="","",_xlfn.UNIQUE(_xll.BC.ACCOUNTCATEGORY(Connection,_xll.VXTEXTSPLIT(C25,";"))))</f>
        <v>Assets</v>
      </c>
      <c r="C25" s="44" t="str" cm="1">
        <f t="array" ref="C25">_xlfn.IFS(
AND(D25="",E25=""),"",
E25&lt;&gt;"",_xlfn.TEXTJOIN(";",TRUE,_xll.BC.EXPANDACCOUNTRANGE(Connection,E25,,,"P")),
D25&lt;&gt;"",_xlfn.TEXTJOIN(";",TRUE,_xll.BC.EXPANDACCOUNTRANGE(Connection,,,D25,"P")))</f>
        <v>1140</v>
      </c>
      <c r="D25" s="20" t="s">
        <v>37</v>
      </c>
      <c r="E25" s="20"/>
      <c r="F25" s="40" t="s">
        <v>46</v>
      </c>
      <c r="G25" s="63" cm="1">
        <f t="array" ref="G25">IF($C25="",0,_xll.BC.TURNOVER(Connection,$C25,,,G$1,G$2,_xlfn.HSTACK(Dim_array,DimValues_array)))</f>
        <v>10818.8</v>
      </c>
      <c r="H25" s="63">
        <f>SUM(L25:W25)</f>
        <v>10818.800000000001</v>
      </c>
      <c r="I25" s="63" cm="1">
        <f t="array" ref="I25">IF($C25="",0,_xll.BC.BUDGETTURNOVER(Connection,$C25,,,$G$20,H$1,H$2,_xlfn.HSTACK(Dim_array,DimValues_array)))</f>
        <v>0</v>
      </c>
      <c r="J25" s="63">
        <f t="shared" ref="J25:J32" si="5">IF(H25="","",IFERROR(H25-I25,""))</f>
        <v>10818.800000000001</v>
      </c>
      <c r="K25" s="60"/>
      <c r="L25" s="21" cm="1">
        <f t="array" ref="L25">_xlfn.IFS(
L$3="Actual",IF($C25="",0,_xll.BC.TURNOVER(Connection,$C25,,,L$1,L$2,_xlfn.HSTACK(Dim_array,DimValues_array))),
L$3="Budget",IF($C25="",0,IF($G$3=FALSE,0,_xll.BC.BUDGETTURNOVER(Connection,$C25,,,$G$20,L$1,L$2,_xlfn.HSTACK(Dim_array,DimValues_array)))))</f>
        <v>1462</v>
      </c>
      <c r="M25" s="21" cm="1">
        <f t="array" ref="M25">_xlfn.IFS(
M$3="Actual",IF($C25="",0,_xll.BC.TURNOVER(Connection,$C25,,,M$1,M$2,_xlfn.HSTACK(Dim_array,DimValues_array))),
M$3="Budget",IF($C25="",0,IF($G$3=FALSE,0,_xll.BC.BUDGETTURNOVER(Connection,$C25,,,$G$20,M$1,M$2,_xlfn.HSTACK(Dim_array,DimValues_array)))))</f>
        <v>1681.3</v>
      </c>
      <c r="N25" s="21" cm="1">
        <f t="array" ref="N25">_xlfn.IFS(
N$3="Actual",IF($C25="",0,_xll.BC.TURNOVER(Connection,$C25,,,N$1,N$2,_xlfn.HSTACK(Dim_array,DimValues_array))),
N$3="Budget",IF($C25="",0,IF($G$3=FALSE,0,_xll.BC.BUDGETTURNOVER(Connection,$C25,,,$G$20,N$1,N$2,_xlfn.HSTACK(Dim_array,DimValues_array)))))</f>
        <v>1754.4</v>
      </c>
      <c r="O25" s="21" cm="1">
        <f t="array" ref="O25">_xlfn.IFS(
O$3="Actual",IF($C25="",0,_xll.BC.TURNOVER(Connection,$C25,,,O$1,O$2,_xlfn.HSTACK(Dim_array,DimValues_array))),
O$3="Budget",IF($C25="",0,IF($G$3=FALSE,0,_xll.BC.BUDGETTURNOVER(Connection,$C25,,,$G$20,O$1,O$2,_xlfn.HSTACK(Dim_array,DimValues_array)))))</f>
        <v>1827.5</v>
      </c>
      <c r="P25" s="21" cm="1">
        <f t="array" ref="P25">_xlfn.IFS(
P$3="Actual",IF($C25="",0,_xll.BC.TURNOVER(Connection,$C25,,,P$1,P$2,_xlfn.HSTACK(Dim_array,DimValues_array))),
P$3="Budget",IF($C25="",0,IF($G$3=FALSE,0,_xll.BC.BUDGETTURNOVER(Connection,$C25,,,$G$20,P$1,P$2,_xlfn.HSTACK(Dim_array,DimValues_array)))))</f>
        <v>1900.6</v>
      </c>
      <c r="Q25" s="21" cm="1">
        <f t="array" ref="Q25">_xlfn.IFS(
Q$3="Actual",IF($C25="",0,_xll.BC.TURNOVER(Connection,$C25,,,Q$1,Q$2,_xlfn.HSTACK(Dim_array,DimValues_array))),
Q$3="Budget",IF($C25="",0,IF($G$3=FALSE,0,_xll.BC.BUDGETTURNOVER(Connection,$C25,,,$G$20,Q$1,Q$2,_xlfn.HSTACK(Dim_array,DimValues_array)))))</f>
        <v>2193</v>
      </c>
      <c r="R25" s="21" cm="1">
        <f t="array" ref="R25">_xlfn.IFS(
R$3="Actual",IF($C25="",0,_xll.BC.TURNOVER(Connection,$C25,,,R$1,R$2,_xlfn.HSTACK(Dim_array,DimValues_array))),
R$3="Budget",IF($C25="",0,IF($G$3=FALSE,0,_xll.BC.BUDGETTURNOVER(Connection,$C25,,,$G$20,R$1,R$2,_xlfn.HSTACK(Dim_array,DimValues_array)))))</f>
        <v>0</v>
      </c>
      <c r="S25" s="21" cm="1">
        <f t="array" ref="S25">_xlfn.IFS(
S$3="Actual",IF($C25="",0,_xll.BC.TURNOVER(Connection,$C25,,,S$1,S$2,_xlfn.HSTACK(Dim_array,DimValues_array))),
S$3="Budget",IF($C25="",0,IF($G$3=FALSE,0,_xll.BC.BUDGETTURNOVER(Connection,$C25,,,$G$20,S$1,S$2,_xlfn.HSTACK(Dim_array,DimValues_array)))))</f>
        <v>0</v>
      </c>
      <c r="T25" s="21" cm="1">
        <f t="array" ref="T25">_xlfn.IFS(
T$3="Actual",IF($C25="",0,_xll.BC.TURNOVER(Connection,$C25,,,T$1,T$2,_xlfn.HSTACK(Dim_array,DimValues_array))),
T$3="Budget",IF($C25="",0,IF($G$3=FALSE,0,_xll.BC.BUDGETTURNOVER(Connection,$C25,,,$G$20,T$1,T$2,_xlfn.HSTACK(Dim_array,DimValues_array)))))</f>
        <v>0</v>
      </c>
      <c r="U25" s="21" cm="1">
        <f t="array" ref="U25">_xlfn.IFS(
U$3="Actual",IF($C25="",0,_xll.BC.TURNOVER(Connection,$C25,,,U$1,U$2,_xlfn.HSTACK(Dim_array,DimValues_array))),
U$3="Budget",IF($C25="",0,IF($G$3=FALSE,0,_xll.BC.BUDGETTURNOVER(Connection,$C25,,,$G$20,U$1,U$2,_xlfn.HSTACK(Dim_array,DimValues_array)))))</f>
        <v>0</v>
      </c>
      <c r="V25" s="21" cm="1">
        <f t="array" ref="V25">_xlfn.IFS(
V$3="Actual",IF($C25="",0,_xll.BC.TURNOVER(Connection,$C25,,,V$1,V$2,_xlfn.HSTACK(Dim_array,DimValues_array))),
V$3="Budget",IF($C25="",0,IF($G$3=FALSE,0,_xll.BC.BUDGETTURNOVER(Connection,$C25,,,$G$20,V$1,V$2,_xlfn.HSTACK(Dim_array,DimValues_array)))))</f>
        <v>0</v>
      </c>
      <c r="W25" s="21" cm="1">
        <f t="array" ref="W25">_xlfn.IFS(
W$3="Actual",IF($C25="",0,_xll.BC.TURNOVER(Connection,$C25,,,W$1,W$2,_xlfn.HSTACK(Dim_array,DimValues_array))),
W$3="Budget",IF($C25="",0,IF($G$3=FALSE,0,_xll.BC.BUDGETTURNOVER(Connection,$C25,,,$G$20,W$1,W$2,_xlfn.HSTACK(Dim_array,DimValues_array)))))</f>
        <v>0</v>
      </c>
    </row>
    <row r="26" spans="1:23">
      <c r="A26" s="10" cm="1">
        <f t="array" ref="A26">_xlfn.IFS(
 B26="","",
 B26="Assets",1,
 B26="Liabilities",-1,
 B26="Equity",-1,
 B26="Income",-1,
 B26="Cost of Goods Sold",1,
 B26="Expense",1)</f>
        <v>1</v>
      </c>
      <c r="B26" s="10" t="str" cm="1">
        <f t="array" ref="B26">IF(C26="","",_xlfn.UNIQUE(_xll.BC.ACCOUNTCATEGORY(Connection,_xll.VXTEXTSPLIT(C26,";"))))</f>
        <v>Assets</v>
      </c>
      <c r="C26" s="44" t="str" cm="1">
        <f t="array" ref="C26">_xlfn.IFS(
AND(D26="",E26=""),"",
E26&lt;&gt;"",_xlfn.TEXTJOIN(";",TRUE,_xll.BC.EXPANDACCOUNTRANGE(Connection,E26,,,"P")),
D26&lt;&gt;"",_xlfn.TEXTJOIN(";",TRUE,_xll.BC.EXPANDACCOUNTRANGE(Connection,,,D26,"P")))</f>
        <v>2310;2320;2330;2340;5620;5621;5630;5631</v>
      </c>
      <c r="D26" s="20" t="s">
        <v>32</v>
      </c>
      <c r="E26" s="20"/>
      <c r="F26" s="39" t="s">
        <v>47</v>
      </c>
      <c r="G26" s="63" cm="1">
        <f t="array" ref="G26">IF($C26="",0,_xll.BC.TURNOVER(Connection,$C26,,,G$1,G$2,_xlfn.HSTACK(Dim_array,DimValues_array)))</f>
        <v>360634.64</v>
      </c>
      <c r="H26" s="63">
        <f t="shared" ref="H26:H31" si="6">SUM(L26:W26)</f>
        <v>872760.95</v>
      </c>
      <c r="I26" s="63" cm="1">
        <f t="array" ref="I26">IF($C26="",0,_xll.BC.BUDGETTURNOVER(Connection,$C26,,,$G$20,H$1,H$2,_xlfn.HSTACK(Dim_array,DimValues_array)))</f>
        <v>944887.88</v>
      </c>
      <c r="J26" s="63">
        <f t="shared" si="5"/>
        <v>-72126.930000000051</v>
      </c>
      <c r="K26" s="60"/>
      <c r="L26" s="21" cm="1">
        <f t="array" ref="L26">_xlfn.IFS(
L$3="Actual",IF($C26="",0,_xll.BC.TURNOVER(Connection,$C26,,,L$1,L$2,_xlfn.HSTACK(Dim_array,DimValues_array))),
L$3="Budget",IF($C26="",0,IF($G$3=FALSE,0,_xll.BC.BUDGETTURNOVER(Connection,$C26,,,$G$20,L$1,L$2,_xlfn.HSTACK(Dim_array,DimValues_array)))))</f>
        <v>54423.51</v>
      </c>
      <c r="M26" s="21" cm="1">
        <f t="array" ref="M26">_xlfn.IFS(
M$3="Actual",IF($C26="",0,_xll.BC.TURNOVER(Connection,$C26,,,M$1,M$2,_xlfn.HSTACK(Dim_array,DimValues_array))),
M$3="Budget",IF($C26="",0,IF($G$3=FALSE,0,_xll.BC.BUDGETTURNOVER(Connection,$C26,,,$G$20,M$1,M$2,_xlfn.HSTACK(Dim_array,DimValues_array)))))</f>
        <v>70175.320000000007</v>
      </c>
      <c r="N26" s="21" cm="1">
        <f t="array" ref="N26">_xlfn.IFS(
N$3="Actual",IF($C26="",0,_xll.BC.TURNOVER(Connection,$C26,,,N$1,N$2,_xlfn.HSTACK(Dim_array,DimValues_array))),
N$3="Budget",IF($C26="",0,IF($G$3=FALSE,0,_xll.BC.BUDGETTURNOVER(Connection,$C26,,,$G$20,N$1,N$2,_xlfn.HSTACK(Dim_array,DimValues_array)))))</f>
        <v>70187.179999999993</v>
      </c>
      <c r="O26" s="21" cm="1">
        <f t="array" ref="O26">_xlfn.IFS(
O$3="Actual",IF($C26="",0,_xll.BC.TURNOVER(Connection,$C26,,,O$1,O$2,_xlfn.HSTACK(Dim_array,DimValues_array))),
O$3="Budget",IF($C26="",0,IF($G$3=FALSE,0,_xll.BC.BUDGETTURNOVER(Connection,$C26,,,$G$20,O$1,O$2,_xlfn.HSTACK(Dim_array,DimValues_array)))))</f>
        <v>52042.78</v>
      </c>
      <c r="P26" s="21" cm="1">
        <f t="array" ref="P26">_xlfn.IFS(
P$3="Actual",IF($C26="",0,_xll.BC.TURNOVER(Connection,$C26,,,P$1,P$2,_xlfn.HSTACK(Dim_array,DimValues_array))),
P$3="Budget",IF($C26="",0,IF($G$3=FALSE,0,_xll.BC.BUDGETTURNOVER(Connection,$C26,,,$G$20,P$1,P$2,_xlfn.HSTACK(Dim_array,DimValues_array)))))</f>
        <v>52838.43</v>
      </c>
      <c r="Q26" s="21" cm="1">
        <f t="array" ref="Q26">_xlfn.IFS(
Q$3="Actual",IF($C26="",0,_xll.BC.TURNOVER(Connection,$C26,,,Q$1,Q$2,_xlfn.HSTACK(Dim_array,DimValues_array))),
Q$3="Budget",IF($C26="",0,IF($G$3=FALSE,0,_xll.BC.BUDGETTURNOVER(Connection,$C26,,,$G$20,Q$1,Q$2,_xlfn.HSTACK(Dim_array,DimValues_array)))))</f>
        <v>60967.42</v>
      </c>
      <c r="R26" s="21" cm="1">
        <f t="array" ref="R26">_xlfn.IFS(
R$3="Actual",IF($C26="",0,_xll.BC.TURNOVER(Connection,$C26,,,R$1,R$2,_xlfn.HSTACK(Dim_array,DimValues_array))),
R$3="Budget",IF($C26="",0,IF($G$3=FALSE,0,_xll.BC.BUDGETTURNOVER(Connection,$C26,,,$G$20,R$1,R$2,_xlfn.HSTACK(Dim_array,DimValues_array)))))</f>
        <v>75599.600000000006</v>
      </c>
      <c r="S26" s="21" cm="1">
        <f t="array" ref="S26">_xlfn.IFS(
S$3="Actual",IF($C26="",0,_xll.BC.TURNOVER(Connection,$C26,,,S$1,S$2,_xlfn.HSTACK(Dim_array,DimValues_array))),
S$3="Budget",IF($C26="",0,IF($G$3=FALSE,0,_xll.BC.BUDGETTURNOVER(Connection,$C26,,,$G$20,S$1,S$2,_xlfn.HSTACK(Dim_array,DimValues_array)))))</f>
        <v>78038.289999999994</v>
      </c>
      <c r="T26" s="21" cm="1">
        <f t="array" ref="T26">_xlfn.IFS(
T$3="Actual",IF($C26="",0,_xll.BC.TURNOVER(Connection,$C26,,,T$1,T$2,_xlfn.HSTACK(Dim_array,DimValues_array))),
T$3="Budget",IF($C26="",0,IF($G$3=FALSE,0,_xll.BC.BUDGETTURNOVER(Connection,$C26,,,$G$20,T$1,T$2,_xlfn.HSTACK(Dim_array,DimValues_array)))))</f>
        <v>82915.69</v>
      </c>
      <c r="U26" s="21" cm="1">
        <f t="array" ref="U26">_xlfn.IFS(
U$3="Actual",IF($C26="",0,_xll.BC.TURNOVER(Connection,$C26,,,U$1,U$2,_xlfn.HSTACK(Dim_array,DimValues_array))),
U$3="Budget",IF($C26="",0,IF($G$3=FALSE,0,_xll.BC.BUDGETTURNOVER(Connection,$C26,,,$G$20,U$1,U$2,_xlfn.HSTACK(Dim_array,DimValues_array)))))</f>
        <v>87793.08</v>
      </c>
      <c r="V26" s="21" cm="1">
        <f t="array" ref="V26">_xlfn.IFS(
V$3="Actual",IF($C26="",0,_xll.BC.TURNOVER(Connection,$C26,,,V$1,V$2,_xlfn.HSTACK(Dim_array,DimValues_array))),
V$3="Budget",IF($C26="",0,IF($G$3=FALSE,0,_xll.BC.BUDGETTURNOVER(Connection,$C26,,,$G$20,V$1,V$2,_xlfn.HSTACK(Dim_array,DimValues_array)))))</f>
        <v>92670.48</v>
      </c>
      <c r="W26" s="21" cm="1">
        <f t="array" ref="W26">_xlfn.IFS(
W$3="Actual",IF($C26="",0,_xll.BC.TURNOVER(Connection,$C26,,,W$1,W$2,_xlfn.HSTACK(Dim_array,DimValues_array))),
W$3="Budget",IF($C26="",0,IF($G$3=FALSE,0,_xll.BC.BUDGETTURNOVER(Connection,$C26,,,$G$20,W$1,W$2,_xlfn.HSTACK(Dim_array,DimValues_array)))))</f>
        <v>95109.17</v>
      </c>
    </row>
    <row r="27" spans="1:23">
      <c r="A27" s="10" cm="1">
        <f t="array" ref="A27">_xlfn.IFS(
 B27="","",
 B27="Assets",1,
 B27="Liabilities",-1,
 B27="Equity",-1,
 B27="Income",-1,
 B27="Cost of Goods Sold",1,
 B27="Expense",1)</f>
        <v>-1</v>
      </c>
      <c r="B27" s="10" t="str" cm="1">
        <f t="array" ref="B27">IF(C27="","",_xlfn.UNIQUE(_xll.BC.ACCOUNTCATEGORY(Connection,_xll.VXTEXTSPLIT(C27,";"))))</f>
        <v>Liabilities</v>
      </c>
      <c r="C27" s="44" t="str" cm="1">
        <f t="array" ref="C27">_xlfn.IFS(
AND(D27="",E27=""),"",
E27&lt;&gt;"",_xlfn.TEXTJOIN(";",TRUE,_xll.BC.EXPANDACCOUNTRANGE(Connection,E27,,,"P")),
D27&lt;&gt;"",_xlfn.TEXTJOIN(";",TRUE,_xll.BC.EXPANDACCOUNTRANGE(Connection,,,D27,"P")))</f>
        <v>5830</v>
      </c>
      <c r="D27" s="20" t="s">
        <v>35</v>
      </c>
      <c r="E27" s="20"/>
      <c r="F27" s="39" t="s">
        <v>48</v>
      </c>
      <c r="G27" s="63" cm="1">
        <f t="array" ref="G27">IF($C27="",0,_xll.BC.TURNOVER(Connection,$C27,,,G$1,G$2,_xlfn.HSTACK(Dim_array,DimValues_array)))</f>
        <v>-74643.8</v>
      </c>
      <c r="H27" s="63">
        <f t="shared" si="6"/>
        <v>52452.400000000009</v>
      </c>
      <c r="I27" s="63" cm="1">
        <f t="array" ref="I27">IF($C27="",0,_xll.BC.BUDGETTURNOVER(Connection,$C27,,,$G$20,H$1,H$2,_xlfn.HSTACK(Dim_array,DimValues_array)))</f>
        <v>216668.76</v>
      </c>
      <c r="J27" s="63">
        <f t="shared" si="5"/>
        <v>-164216.35999999999</v>
      </c>
      <c r="K27" s="60"/>
      <c r="L27" s="21" cm="1">
        <f t="array" ref="L27">_xlfn.IFS(
L$3="Actual",IF($C27="",0,_xll.BC.TURNOVER(Connection,$C27,,,L$1,L$2,_xlfn.HSTACK(Dim_array,DimValues_array))),
L$3="Budget",IF($C27="",0,IF($G$3=FALSE,0,_xll.BC.BUDGETTURNOVER(Connection,$C27,,,$G$20,L$1,L$2,_xlfn.HSTACK(Dim_array,DimValues_array)))))</f>
        <v>-10087</v>
      </c>
      <c r="M27" s="21" cm="1">
        <f t="array" ref="M27">_xlfn.IFS(
M$3="Actual",IF($C27="",0,_xll.BC.TURNOVER(Connection,$C27,,,M$1,M$2,_xlfn.HSTACK(Dim_array,DimValues_array))),
M$3="Budget",IF($C27="",0,IF($G$3=FALSE,0,_xll.BC.BUDGETTURNOVER(Connection,$C27,,,$G$20,M$1,M$2,_xlfn.HSTACK(Dim_array,DimValues_array)))))</f>
        <v>-11600.05</v>
      </c>
      <c r="N27" s="21" cm="1">
        <f t="array" ref="N27">_xlfn.IFS(
N$3="Actual",IF($C27="",0,_xll.BC.TURNOVER(Connection,$C27,,,N$1,N$2,_xlfn.HSTACK(Dim_array,DimValues_array))),
N$3="Budget",IF($C27="",0,IF($G$3=FALSE,0,_xll.BC.BUDGETTURNOVER(Connection,$C27,,,$G$20,N$1,N$2,_xlfn.HSTACK(Dim_array,DimValues_array)))))</f>
        <v>-12104.4</v>
      </c>
      <c r="O27" s="21" cm="1">
        <f t="array" ref="O27">_xlfn.IFS(
O$3="Actual",IF($C27="",0,_xll.BC.TURNOVER(Connection,$C27,,,O$1,O$2,_xlfn.HSTACK(Dim_array,DimValues_array))),
O$3="Budget",IF($C27="",0,IF($G$3=FALSE,0,_xll.BC.BUDGETTURNOVER(Connection,$C27,,,$G$20,O$1,O$2,_xlfn.HSTACK(Dim_array,DimValues_array)))))</f>
        <v>-12608.75</v>
      </c>
      <c r="P27" s="21" cm="1">
        <f t="array" ref="P27">_xlfn.IFS(
P$3="Actual",IF($C27="",0,_xll.BC.TURNOVER(Connection,$C27,,,P$1,P$2,_xlfn.HSTACK(Dim_array,DimValues_array))),
P$3="Budget",IF($C27="",0,IF($G$3=FALSE,0,_xll.BC.BUDGETTURNOVER(Connection,$C27,,,$G$20,P$1,P$2,_xlfn.HSTACK(Dim_array,DimValues_array)))))</f>
        <v>-13113.1</v>
      </c>
      <c r="Q27" s="21" cm="1">
        <f t="array" ref="Q27">_xlfn.IFS(
Q$3="Actual",IF($C27="",0,_xll.BC.TURNOVER(Connection,$C27,,,Q$1,Q$2,_xlfn.HSTACK(Dim_array,DimValues_array))),
Q$3="Budget",IF($C27="",0,IF($G$3=FALSE,0,_xll.BC.BUDGETTURNOVER(Connection,$C27,,,$G$20,Q$1,Q$2,_xlfn.HSTACK(Dim_array,DimValues_array)))))</f>
        <v>-15130.5</v>
      </c>
      <c r="R27" s="21" cm="1">
        <f t="array" ref="R27">_xlfn.IFS(
R$3="Actual",IF($C27="",0,_xll.BC.TURNOVER(Connection,$C27,,,R$1,R$2,_xlfn.HSTACK(Dim_array,DimValues_array))),
R$3="Budget",IF($C27="",0,IF($G$3=FALSE,0,_xll.BC.BUDGETTURNOVER(Connection,$C27,,,$G$20,R$1,R$2,_xlfn.HSTACK(Dim_array,DimValues_array)))))</f>
        <v>18761.82</v>
      </c>
      <c r="S27" s="21" cm="1">
        <f t="array" ref="S27">_xlfn.IFS(
S$3="Actual",IF($C27="",0,_xll.BC.TURNOVER(Connection,$C27,,,S$1,S$2,_xlfn.HSTACK(Dim_array,DimValues_array))),
S$3="Budget",IF($C27="",0,IF($G$3=FALSE,0,_xll.BC.BUDGETTURNOVER(Connection,$C27,,,$G$20,S$1,S$2,_xlfn.HSTACK(Dim_array,DimValues_array)))))</f>
        <v>19367.04</v>
      </c>
      <c r="T27" s="21" cm="1">
        <f t="array" ref="T27">_xlfn.IFS(
T$3="Actual",IF($C27="",0,_xll.BC.TURNOVER(Connection,$C27,,,T$1,T$2,_xlfn.HSTACK(Dim_array,DimValues_array))),
T$3="Budget",IF($C27="",0,IF($G$3=FALSE,0,_xll.BC.BUDGETTURNOVER(Connection,$C27,,,$G$20,T$1,T$2,_xlfn.HSTACK(Dim_array,DimValues_array)))))</f>
        <v>20577.48</v>
      </c>
      <c r="U27" s="21" cm="1">
        <f t="array" ref="U27">_xlfn.IFS(
U$3="Actual",IF($C27="",0,_xll.BC.TURNOVER(Connection,$C27,,,U$1,U$2,_xlfn.HSTACK(Dim_array,DimValues_array))),
U$3="Budget",IF($C27="",0,IF($G$3=FALSE,0,_xll.BC.BUDGETTURNOVER(Connection,$C27,,,$G$20,U$1,U$2,_xlfn.HSTACK(Dim_array,DimValues_array)))))</f>
        <v>21787.919999999998</v>
      </c>
      <c r="V27" s="21" cm="1">
        <f t="array" ref="V27">_xlfn.IFS(
V$3="Actual",IF($C27="",0,_xll.BC.TURNOVER(Connection,$C27,,,V$1,V$2,_xlfn.HSTACK(Dim_array,DimValues_array))),
V$3="Budget",IF($C27="",0,IF($G$3=FALSE,0,_xll.BC.BUDGETTURNOVER(Connection,$C27,,,$G$20,V$1,V$2,_xlfn.HSTACK(Dim_array,DimValues_array)))))</f>
        <v>22998.36</v>
      </c>
      <c r="W27" s="21" cm="1">
        <f t="array" ref="W27">_xlfn.IFS(
W$3="Actual",IF($C27="",0,_xll.BC.TURNOVER(Connection,$C27,,,W$1,W$2,_xlfn.HSTACK(Dim_array,DimValues_array))),
W$3="Budget",IF($C27="",0,IF($G$3=FALSE,0,_xll.BC.BUDGETTURNOVER(Connection,$C27,,,$G$20,W$1,W$2,_xlfn.HSTACK(Dim_array,DimValues_array)))))</f>
        <v>23603.58</v>
      </c>
    </row>
    <row r="28" spans="1:23">
      <c r="A28" s="10" cm="1">
        <f t="array" ref="A28">_xlfn.IFS(
 B28="","",
 B28="Assets",1,
 B28="Liabilities",-1,
 B28="Equity",-1,
 B28="Income",-1,
 B28="Cost of Goods Sold",1,
 B28="Expense",1)</f>
        <v>-1</v>
      </c>
      <c r="B28" s="10" t="str" cm="1">
        <f t="array" ref="B28">IF(C28="","",_xlfn.UNIQUE(_xll.BC.ACCOUNTCATEGORY(Connection,_xll.VXTEXTSPLIT(C28,";"))))</f>
        <v>Liabilities</v>
      </c>
      <c r="C28" s="44" t="str" cm="1">
        <f t="array" ref="C28">_xlfn.IFS(
AND(D28="",E28=""),"",
E28&lt;&gt;"",_xlfn.TEXTJOIN(";",TRUE,_xll.BC.EXPANDACCOUNTRANGE(Connection,E28,,,"P")),
D28&lt;&gt;"",_xlfn.TEXTJOIN(";",TRUE,_xll.BC.EXPANDACCOUNTRANGE(Connection,,,D28,"P")))</f>
        <v>4010;5310;5360;5370;5380;5410;5420;5510;5530;5610;5611</v>
      </c>
      <c r="D28" s="20" t="s">
        <v>33</v>
      </c>
      <c r="E28" s="20"/>
      <c r="F28" s="39" t="s">
        <v>49</v>
      </c>
      <c r="G28" s="63" cm="1">
        <f t="array" ref="G28">IF($C28="",0,_xll.BC.TURNOVER(Connection,$C28,,,G$1,G$2,_xlfn.HSTACK(Dim_array,DimValues_array)))</f>
        <v>-251935.19</v>
      </c>
      <c r="H28" s="63">
        <f t="shared" si="6"/>
        <v>91782.73000000001</v>
      </c>
      <c r="I28" s="63" cm="1">
        <f t="array" ref="I28">IF($C28="",0,_xll.BC.BUDGETTURNOVER(Connection,$C28,,,$G$20,H$1,H$2,_xlfn.HSTACK(Dim_array,DimValues_array)))</f>
        <v>646040.15</v>
      </c>
      <c r="J28" s="63">
        <f t="shared" si="5"/>
        <v>-554257.42000000004</v>
      </c>
      <c r="K28" s="60"/>
      <c r="L28" s="21" cm="1">
        <f t="array" ref="L28">_xlfn.IFS(
L$3="Actual",IF($C28="",0,_xll.BC.TURNOVER(Connection,$C28,,,L$1,L$2,_xlfn.HSTACK(Dim_array,DimValues_array))),
L$3="Budget",IF($C28="",0,IF($G$3=FALSE,0,_xll.BC.BUDGETTURNOVER(Connection,$C28,,,$G$20,L$1,L$2,_xlfn.HSTACK(Dim_array,DimValues_array)))))</f>
        <v>-30827.93</v>
      </c>
      <c r="M28" s="21" cm="1">
        <f t="array" ref="M28">_xlfn.IFS(
M$3="Actual",IF($C28="",0,_xll.BC.TURNOVER(Connection,$C28,,,M$1,M$2,_xlfn.HSTACK(Dim_array,DimValues_array))),
M$3="Budget",IF($C28="",0,IF($G$3=FALSE,0,_xll.BC.BUDGETTURNOVER(Connection,$C28,,,$G$20,M$1,M$2,_xlfn.HSTACK(Dim_array,DimValues_array)))))</f>
        <v>-36073.08</v>
      </c>
      <c r="N28" s="21" cm="1">
        <f t="array" ref="N28">_xlfn.IFS(
N$3="Actual",IF($C28="",0,_xll.BC.TURNOVER(Connection,$C28,,,N$1,N$2,_xlfn.HSTACK(Dim_array,DimValues_array))),
N$3="Budget",IF($C28="",0,IF($G$3=FALSE,0,_xll.BC.BUDGETTURNOVER(Connection,$C28,,,$G$20,N$1,N$2,_xlfn.HSTACK(Dim_array,DimValues_array)))))</f>
        <v>-74553.42</v>
      </c>
      <c r="O28" s="21" cm="1">
        <f t="array" ref="O28">_xlfn.IFS(
O$3="Actual",IF($C28="",0,_xll.BC.TURNOVER(Connection,$C28,,,O$1,O$2,_xlfn.HSTACK(Dim_array,DimValues_array))),
O$3="Budget",IF($C28="",0,IF($G$3=FALSE,0,_xll.BC.BUDGETTURNOVER(Connection,$C28,,,$G$20,O$1,O$2,_xlfn.HSTACK(Dim_array,DimValues_array)))))</f>
        <v>-34099</v>
      </c>
      <c r="P28" s="21" cm="1">
        <f t="array" ref="P28">_xlfn.IFS(
P$3="Actual",IF($C28="",0,_xll.BC.TURNOVER(Connection,$C28,,,P$1,P$2,_xlfn.HSTACK(Dim_array,DimValues_array))),
P$3="Budget",IF($C28="",0,IF($G$3=FALSE,0,_xll.BC.BUDGETTURNOVER(Connection,$C28,,,$G$20,P$1,P$2,_xlfn.HSTACK(Dim_array,DimValues_array)))))</f>
        <v>-35462.959999999999</v>
      </c>
      <c r="Q28" s="21" cm="1">
        <f t="array" ref="Q28">_xlfn.IFS(
Q$3="Actual",IF($C28="",0,_xll.BC.TURNOVER(Connection,$C28,,,Q$1,Q$2,_xlfn.HSTACK(Dim_array,DimValues_array))),
Q$3="Budget",IF($C28="",0,IF($G$3=FALSE,0,_xll.BC.BUDGETTURNOVER(Connection,$C28,,,$G$20,Q$1,Q$2,_xlfn.HSTACK(Dim_array,DimValues_array)))))</f>
        <v>-40918.800000000003</v>
      </c>
      <c r="R28" s="21" cm="1">
        <f t="array" ref="R28">_xlfn.IFS(
R$3="Actual",IF($C28="",0,_xll.BC.TURNOVER(Connection,$C28,,,R$1,R$2,_xlfn.HSTACK(Dim_array,DimValues_array))),
R$3="Budget",IF($C28="",0,IF($G$3=FALSE,0,_xll.BC.BUDGETTURNOVER(Connection,$C28,,,$G$20,R$1,R$2,_xlfn.HSTACK(Dim_array,DimValues_array)))))</f>
        <v>50739.31</v>
      </c>
      <c r="S28" s="21" cm="1">
        <f t="array" ref="S28">_xlfn.IFS(
S$3="Actual",IF($C28="",0,_xll.BC.TURNOVER(Connection,$C28,,,S$1,S$2,_xlfn.HSTACK(Dim_array,DimValues_array))),
S$3="Budget",IF($C28="",0,IF($G$3=FALSE,0,_xll.BC.BUDGETTURNOVER(Connection,$C28,,,$G$20,S$1,S$2,_xlfn.HSTACK(Dim_array,DimValues_array)))))</f>
        <v>52376.06</v>
      </c>
      <c r="T28" s="21" cm="1">
        <f t="array" ref="T28">_xlfn.IFS(
T$3="Actual",IF($C28="",0,_xll.BC.TURNOVER(Connection,$C28,,,T$1,T$2,_xlfn.HSTACK(Dim_array,DimValues_array))),
T$3="Budget",IF($C28="",0,IF($G$3=FALSE,0,_xll.BC.BUDGETTURNOVER(Connection,$C28,,,$G$20,T$1,T$2,_xlfn.HSTACK(Dim_array,DimValues_array)))))</f>
        <v>55649.57</v>
      </c>
      <c r="U28" s="21" cm="1">
        <f t="array" ref="U28">_xlfn.IFS(
U$3="Actual",IF($C28="",0,_xll.BC.TURNOVER(Connection,$C28,,,U$1,U$2,_xlfn.HSTACK(Dim_array,DimValues_array))),
U$3="Budget",IF($C28="",0,IF($G$3=FALSE,0,_xll.BC.BUDGETTURNOVER(Connection,$C28,,,$G$20,U$1,U$2,_xlfn.HSTACK(Dim_array,DimValues_array)))))</f>
        <v>58923.07</v>
      </c>
      <c r="V28" s="21" cm="1">
        <f t="array" ref="V28">_xlfn.IFS(
V$3="Actual",IF($C28="",0,_xll.BC.TURNOVER(Connection,$C28,,,V$1,V$2,_xlfn.HSTACK(Dim_array,DimValues_array))),
V$3="Budget",IF($C28="",0,IF($G$3=FALSE,0,_xll.BC.BUDGETTURNOVER(Connection,$C28,,,$G$20,V$1,V$2,_xlfn.HSTACK(Dim_array,DimValues_array)))))</f>
        <v>62196.58</v>
      </c>
      <c r="W28" s="21" cm="1">
        <f t="array" ref="W28">_xlfn.IFS(
W$3="Actual",IF($C28="",0,_xll.BC.TURNOVER(Connection,$C28,,,W$1,W$2,_xlfn.HSTACK(Dim_array,DimValues_array))),
W$3="Budget",IF($C28="",0,IF($G$3=FALSE,0,_xll.BC.BUDGETTURNOVER(Connection,$C28,,,$G$20,W$1,W$2,_xlfn.HSTACK(Dim_array,DimValues_array)))))</f>
        <v>63833.33</v>
      </c>
    </row>
    <row r="29" spans="1:23">
      <c r="A29" s="10" cm="1">
        <f t="array" ref="A29">_xlfn.IFS(
 B29="","",
 B29="Assets",1,
 B29="Liabilities",-1,
 B29="Equity",-1,
 B29="Income",-1,
 B29="Cost of Goods Sold",1,
 B29="Expense",1)</f>
        <v>1</v>
      </c>
      <c r="B29" s="10" t="str" cm="1">
        <f t="array" ref="B29">IF(C29="","",_xlfn.UNIQUE(_xll.BC.ACCOUNTCATEGORY(Connection,_xll.VXTEXTSPLIT(C29,";"))))</f>
        <v>Assets</v>
      </c>
      <c r="C29" s="44" t="str" cm="1">
        <f t="array" ref="C29">_xlfn.IFS(
AND(D29="",E29=""),"",
E29&lt;&gt;"",_xlfn.TEXTJOIN(";",TRUE,_xll.BC.EXPANDACCOUNTRANGE(Connection,E29,,,"P")),
D29&lt;&gt;"",_xlfn.TEXTJOIN(";",TRUE,_xll.BC.EXPANDACCOUNTRANGE(Connection,,,D29,"P")))</f>
        <v>2110;2111;2112;2120;2121;2130;2131;2132;2180</v>
      </c>
      <c r="D29" s="20" t="s">
        <v>3</v>
      </c>
      <c r="E29" s="20"/>
      <c r="F29" s="39" t="s">
        <v>50</v>
      </c>
      <c r="G29" s="63" cm="1">
        <f t="array" ref="G29">IF($C29="",0,_xll.BC.TURNOVER(Connection,$C29,,,G$1,G$2,_xlfn.HSTACK(Dim_array,DimValues_array)))</f>
        <v>99494.9</v>
      </c>
      <c r="H29" s="63">
        <f t="shared" si="6"/>
        <v>238422.5</v>
      </c>
      <c r="I29" s="63" cm="1">
        <f t="array" ref="I29">IF($C29="",0,_xll.BC.BUDGETTURNOVER(Connection,$C29,,,$G$20,H$1,H$2,_xlfn.HSTACK(Dim_array,DimValues_array)))</f>
        <v>258321.48</v>
      </c>
      <c r="J29" s="63">
        <f t="shared" si="5"/>
        <v>-19898.98000000001</v>
      </c>
      <c r="K29" s="60"/>
      <c r="L29" s="21" cm="1">
        <f t="array" ref="L29">_xlfn.IFS(
L$3="Actual",IF($C29="",0,_xll.BC.TURNOVER(Connection,$C29,,,L$1,L$2,_xlfn.HSTACK(Dim_array,DimValues_array))),
L$3="Budget",IF($C29="",0,IF($G$3=FALSE,0,_xll.BC.BUDGETTURNOVER(Connection,$C29,,,$G$20,L$1,L$2,_xlfn.HSTACK(Dim_array,DimValues_array)))))</f>
        <v>11506.5</v>
      </c>
      <c r="M29" s="21" cm="1">
        <f t="array" ref="M29">_xlfn.IFS(
M$3="Actual",IF($C29="",0,_xll.BC.TURNOVER(Connection,$C29,,,M$1,M$2,_xlfn.HSTACK(Dim_array,DimValues_array))),
M$3="Budget",IF($C29="",0,IF($G$3=FALSE,0,_xll.BC.BUDGETTURNOVER(Connection,$C29,,,$G$20,M$1,M$2,_xlfn.HSTACK(Dim_array,DimValues_array)))))</f>
        <v>12101.9</v>
      </c>
      <c r="N29" s="21" cm="1">
        <f t="array" ref="N29">_xlfn.IFS(
N$3="Actual",IF($C29="",0,_xll.BC.TURNOVER(Connection,$C29,,,N$1,N$2,_xlfn.HSTACK(Dim_array,DimValues_array))),
N$3="Budget",IF($C29="",0,IF($G$3=FALSE,0,_xll.BC.BUDGETTURNOVER(Connection,$C29,,,$G$20,N$1,N$2,_xlfn.HSTACK(Dim_array,DimValues_array)))))</f>
        <v>14195</v>
      </c>
      <c r="O29" s="21" cm="1">
        <f t="array" ref="O29">_xlfn.IFS(
O$3="Actual",IF($C29="",0,_xll.BC.TURNOVER(Connection,$C29,,,O$1,O$2,_xlfn.HSTACK(Dim_array,DimValues_array))),
O$3="Budget",IF($C29="",0,IF($G$3=FALSE,0,_xll.BC.BUDGETTURNOVER(Connection,$C29,,,$G$20,O$1,O$2,_xlfn.HSTACK(Dim_array,DimValues_array)))))</f>
        <v>12818.7</v>
      </c>
      <c r="P29" s="21" cm="1">
        <f t="array" ref="P29">_xlfn.IFS(
P$3="Actual",IF($C29="",0,_xll.BC.TURNOVER(Connection,$C29,,,P$1,P$2,_xlfn.HSTACK(Dim_array,DimValues_array))),
P$3="Budget",IF($C29="",0,IF($G$3=FALSE,0,_xll.BC.BUDGETTURNOVER(Connection,$C29,,,$G$20,P$1,P$2,_xlfn.HSTACK(Dim_array,DimValues_array)))))</f>
        <v>14333.8</v>
      </c>
      <c r="Q29" s="21" cm="1">
        <f t="array" ref="Q29">_xlfn.IFS(
Q$3="Actual",IF($C29="",0,_xll.BC.TURNOVER(Connection,$C29,,,Q$1,Q$2,_xlfn.HSTACK(Dim_array,DimValues_array))),
Q$3="Budget",IF($C29="",0,IF($G$3=FALSE,0,_xll.BC.BUDGETTURNOVER(Connection,$C29,,,$G$20,Q$1,Q$2,_xlfn.HSTACK(Dim_array,DimValues_array)))))</f>
        <v>34539</v>
      </c>
      <c r="R29" s="21" cm="1">
        <f t="array" ref="R29">_xlfn.IFS(
R$3="Actual",IF($C29="",0,_xll.BC.TURNOVER(Connection,$C29,,,R$1,R$2,_xlfn.HSTACK(Dim_array,DimValues_array))),
R$3="Budget",IF($C29="",0,IF($G$3=FALSE,0,_xll.BC.BUDGETTURNOVER(Connection,$C29,,,$G$20,R$1,R$2,_xlfn.HSTACK(Dim_array,DimValues_array)))))</f>
        <v>20508.36</v>
      </c>
      <c r="S29" s="21" cm="1">
        <f t="array" ref="S29">_xlfn.IFS(
S$3="Actual",IF($C29="",0,_xll.BC.TURNOVER(Connection,$C29,,,S$1,S$2,_xlfn.HSTACK(Dim_array,DimValues_array))),
S$3="Budget",IF($C29="",0,IF($G$3=FALSE,0,_xll.BC.BUDGETTURNOVER(Connection,$C29,,,$G$20,S$1,S$2,_xlfn.HSTACK(Dim_array,DimValues_array)))))</f>
        <v>21169.919999999998</v>
      </c>
      <c r="T29" s="21" cm="1">
        <f t="array" ref="T29">_xlfn.IFS(
T$3="Actual",IF($C29="",0,_xll.BC.TURNOVER(Connection,$C29,,,T$1,T$2,_xlfn.HSTACK(Dim_array,DimValues_array))),
T$3="Budget",IF($C29="",0,IF($G$3=FALSE,0,_xll.BC.BUDGETTURNOVER(Connection,$C29,,,$G$20,T$1,T$2,_xlfn.HSTACK(Dim_array,DimValues_array)))))</f>
        <v>22493.040000000001</v>
      </c>
      <c r="U29" s="21" cm="1">
        <f t="array" ref="U29">_xlfn.IFS(
U$3="Actual",IF($C29="",0,_xll.BC.TURNOVER(Connection,$C29,,,U$1,U$2,_xlfn.HSTACK(Dim_array,DimValues_array))),
U$3="Budget",IF($C29="",0,IF($G$3=FALSE,0,_xll.BC.BUDGETTURNOVER(Connection,$C29,,,$G$20,U$1,U$2,_xlfn.HSTACK(Dim_array,DimValues_array)))))</f>
        <v>23816.16</v>
      </c>
      <c r="V29" s="21" cm="1">
        <f t="array" ref="V29">_xlfn.IFS(
V$3="Actual",IF($C29="",0,_xll.BC.TURNOVER(Connection,$C29,,,V$1,V$2,_xlfn.HSTACK(Dim_array,DimValues_array))),
V$3="Budget",IF($C29="",0,IF($G$3=FALSE,0,_xll.BC.BUDGETTURNOVER(Connection,$C29,,,$G$20,V$1,V$2,_xlfn.HSTACK(Dim_array,DimValues_array)))))</f>
        <v>25139.279999999999</v>
      </c>
      <c r="W29" s="21" cm="1">
        <f t="array" ref="W29">_xlfn.IFS(
W$3="Actual",IF($C29="",0,_xll.BC.TURNOVER(Connection,$C29,,,W$1,W$2,_xlfn.HSTACK(Dim_array,DimValues_array))),
W$3="Budget",IF($C29="",0,IF($G$3=FALSE,0,_xll.BC.BUDGETTURNOVER(Connection,$C29,,,$G$20,W$1,W$2,_xlfn.HSTACK(Dim_array,DimValues_array)))))</f>
        <v>25800.84</v>
      </c>
    </row>
    <row r="30" spans="1:23">
      <c r="A30" s="10" cm="1">
        <f t="array" ref="A30">_xlfn.IFS(
 B30="","",
 B30="Assets",1,
 B30="Liabilities",-1,
 B30="Equity",-1,
 B30="Income",-1,
 B30="Cost of Goods Sold",1,
 B30="Expense",1)</f>
        <v>1</v>
      </c>
      <c r="B30" s="10" t="str" cm="1">
        <f t="array" ref="B30">IF(C30="","",_xlfn.UNIQUE(_xll.BC.ACCOUNTCATEGORY(Connection,_xll.VXTEXTSPLIT(C30,";"))))</f>
        <v>Assets</v>
      </c>
      <c r="C30" s="44" t="str" cm="1">
        <f t="array" ref="C30">_xlfn.IFS(
AND(D30="",E30=""),"",
E30&lt;&gt;"",_xlfn.TEXTJOIN(";",TRUE,_xll.BC.EXPANDACCOUNTRANGE(Connection,E30,,,"P")),
D30&lt;&gt;"",_xlfn.TEXTJOIN(";",TRUE,_xll.BC.EXPANDACCOUNTRANGE(Connection,,,D30,"P")))</f>
        <v>2410;2420;2430</v>
      </c>
      <c r="D30" s="20" t="s">
        <v>34</v>
      </c>
      <c r="E30" s="20"/>
      <c r="F30" s="39" t="s">
        <v>51</v>
      </c>
      <c r="G30" s="63" cm="1">
        <f t="array" ref="G30">IF($C30="",0,_xll.BC.TURNOVER(Connection,$C30,,,G$1,G$2,_xlfn.HSTACK(Dim_array,DimValues_array)))</f>
        <v>0</v>
      </c>
      <c r="H30" s="63">
        <f t="shared" si="6"/>
        <v>0</v>
      </c>
      <c r="I30" s="63" cm="1">
        <f t="array" ref="I30">IF($C30="",0,_xll.BC.BUDGETTURNOVER(Connection,$C30,,,$G$20,H$1,H$2,_xlfn.HSTACK(Dim_array,DimValues_array)))</f>
        <v>0</v>
      </c>
      <c r="J30" s="63">
        <f t="shared" si="5"/>
        <v>0</v>
      </c>
      <c r="K30" s="60"/>
      <c r="L30" s="21" cm="1">
        <f t="array" ref="L30">_xlfn.IFS(
L$3="Actual",IF($C30="",0,_xll.BC.TURNOVER(Connection,$C30,,,L$1,L$2,_xlfn.HSTACK(Dim_array,DimValues_array))),
L$3="Budget",IF($C30="",0,IF($G$3=FALSE,0,_xll.BC.BUDGETTURNOVER(Connection,$C30,,,$G$20,L$1,L$2,_xlfn.HSTACK(Dim_array,DimValues_array)))))</f>
        <v>0</v>
      </c>
      <c r="M30" s="21" cm="1">
        <f t="array" ref="M30">_xlfn.IFS(
M$3="Actual",IF($C30="",0,_xll.BC.TURNOVER(Connection,$C30,,,M$1,M$2,_xlfn.HSTACK(Dim_array,DimValues_array))),
M$3="Budget",IF($C30="",0,IF($G$3=FALSE,0,_xll.BC.BUDGETTURNOVER(Connection,$C30,,,$G$20,M$1,M$2,_xlfn.HSTACK(Dim_array,DimValues_array)))))</f>
        <v>0</v>
      </c>
      <c r="N30" s="21" cm="1">
        <f t="array" ref="N30">_xlfn.IFS(
N$3="Actual",IF($C30="",0,_xll.BC.TURNOVER(Connection,$C30,,,N$1,N$2,_xlfn.HSTACK(Dim_array,DimValues_array))),
N$3="Budget",IF($C30="",0,IF($G$3=FALSE,0,_xll.BC.BUDGETTURNOVER(Connection,$C30,,,$G$20,N$1,N$2,_xlfn.HSTACK(Dim_array,DimValues_array)))))</f>
        <v>0</v>
      </c>
      <c r="O30" s="21" cm="1">
        <f t="array" ref="O30">_xlfn.IFS(
O$3="Actual",IF($C30="",0,_xll.BC.TURNOVER(Connection,$C30,,,O$1,O$2,_xlfn.HSTACK(Dim_array,DimValues_array))),
O$3="Budget",IF($C30="",0,IF($G$3=FALSE,0,_xll.BC.BUDGETTURNOVER(Connection,$C30,,,$G$20,O$1,O$2,_xlfn.HSTACK(Dim_array,DimValues_array)))))</f>
        <v>0</v>
      </c>
      <c r="P30" s="21" cm="1">
        <f t="array" ref="P30">_xlfn.IFS(
P$3="Actual",IF($C30="",0,_xll.BC.TURNOVER(Connection,$C30,,,P$1,P$2,_xlfn.HSTACK(Dim_array,DimValues_array))),
P$3="Budget",IF($C30="",0,IF($G$3=FALSE,0,_xll.BC.BUDGETTURNOVER(Connection,$C30,,,$G$20,P$1,P$2,_xlfn.HSTACK(Dim_array,DimValues_array)))))</f>
        <v>0</v>
      </c>
      <c r="Q30" s="21" cm="1">
        <f t="array" ref="Q30">_xlfn.IFS(
Q$3="Actual",IF($C30="",0,_xll.BC.TURNOVER(Connection,$C30,,,Q$1,Q$2,_xlfn.HSTACK(Dim_array,DimValues_array))),
Q$3="Budget",IF($C30="",0,IF($G$3=FALSE,0,_xll.BC.BUDGETTURNOVER(Connection,$C30,,,$G$20,Q$1,Q$2,_xlfn.HSTACK(Dim_array,DimValues_array)))))</f>
        <v>0</v>
      </c>
      <c r="R30" s="21" cm="1">
        <f t="array" ref="R30">_xlfn.IFS(
R$3="Actual",IF($C30="",0,_xll.BC.TURNOVER(Connection,$C30,,,R$1,R$2,_xlfn.HSTACK(Dim_array,DimValues_array))),
R$3="Budget",IF($C30="",0,IF($G$3=FALSE,0,_xll.BC.BUDGETTURNOVER(Connection,$C30,,,$G$20,R$1,R$2,_xlfn.HSTACK(Dim_array,DimValues_array)))))</f>
        <v>0</v>
      </c>
      <c r="S30" s="21" cm="1">
        <f t="array" ref="S30">_xlfn.IFS(
S$3="Actual",IF($C30="",0,_xll.BC.TURNOVER(Connection,$C30,,,S$1,S$2,_xlfn.HSTACK(Dim_array,DimValues_array))),
S$3="Budget",IF($C30="",0,IF($G$3=FALSE,0,_xll.BC.BUDGETTURNOVER(Connection,$C30,,,$G$20,S$1,S$2,_xlfn.HSTACK(Dim_array,DimValues_array)))))</f>
        <v>0</v>
      </c>
      <c r="T30" s="21" cm="1">
        <f t="array" ref="T30">_xlfn.IFS(
T$3="Actual",IF($C30="",0,_xll.BC.TURNOVER(Connection,$C30,,,T$1,T$2,_xlfn.HSTACK(Dim_array,DimValues_array))),
T$3="Budget",IF($C30="",0,IF($G$3=FALSE,0,_xll.BC.BUDGETTURNOVER(Connection,$C30,,,$G$20,T$1,T$2,_xlfn.HSTACK(Dim_array,DimValues_array)))))</f>
        <v>0</v>
      </c>
      <c r="U30" s="21" cm="1">
        <f t="array" ref="U30">_xlfn.IFS(
U$3="Actual",IF($C30="",0,_xll.BC.TURNOVER(Connection,$C30,,,U$1,U$2,_xlfn.HSTACK(Dim_array,DimValues_array))),
U$3="Budget",IF($C30="",0,IF($G$3=FALSE,0,_xll.BC.BUDGETTURNOVER(Connection,$C30,,,$G$20,U$1,U$2,_xlfn.HSTACK(Dim_array,DimValues_array)))))</f>
        <v>0</v>
      </c>
      <c r="V30" s="21" cm="1">
        <f t="array" ref="V30">_xlfn.IFS(
V$3="Actual",IF($C30="",0,_xll.BC.TURNOVER(Connection,$C30,,,V$1,V$2,_xlfn.HSTACK(Dim_array,DimValues_array))),
V$3="Budget",IF($C30="",0,IF($G$3=FALSE,0,_xll.BC.BUDGETTURNOVER(Connection,$C30,,,$G$20,V$1,V$2,_xlfn.HSTACK(Dim_array,DimValues_array)))))</f>
        <v>0</v>
      </c>
      <c r="W30" s="21" cm="1">
        <f t="array" ref="W30">_xlfn.IFS(
W$3="Actual",IF($C30="",0,_xll.BC.TURNOVER(Connection,$C30,,,W$1,W$2,_xlfn.HSTACK(Dim_array,DimValues_array))),
W$3="Budget",IF($C30="",0,IF($G$3=FALSE,0,_xll.BC.BUDGETTURNOVER(Connection,$C30,,,$G$20,W$1,W$2,_xlfn.HSTACK(Dim_array,DimValues_array)))))</f>
        <v>0</v>
      </c>
    </row>
    <row r="31" spans="1:23">
      <c r="A31" s="10" t="str" cm="1">
        <f t="array" ref="A31">_xlfn.IFS(
 B31="","",
 B31="Assets",1,
 B31="Liabilities",-1,
 B31="Equity",-1,
 B31="Income",-1,
 B31="Cost of Goods Sold",1,
 B31="Expense",1)</f>
        <v/>
      </c>
      <c r="B31" s="10" t="str" cm="1">
        <f t="array" ref="B31">IF(C31="","",_xlfn.UNIQUE(_xll.BC.ACCOUNTCATEGORY(Connection,_xll.VXTEXTSPLIT(C31,";"))))</f>
        <v/>
      </c>
      <c r="C31" s="44" t="str" cm="1">
        <f t="array" ref="C31">_xlfn.IFS(
AND(D31="",E31=""),"",
E31&lt;&gt;"",E31,
D31&lt;&gt;"",_xlfn.TEXTJOIN(";",TRUE,_xll.BC.EXPANDACCOUNTRANGE(Connection,,,D31,)))</f>
        <v/>
      </c>
      <c r="D31" s="20"/>
      <c r="E31" s="20"/>
      <c r="F31" s="40" t="s">
        <v>52</v>
      </c>
      <c r="G31" s="63" cm="1">
        <f t="array" ref="G31">IF($C31="",0,_xll.BC.TURNOVER(Connection,$C31,,,G$1,G$2,_xlfn.HSTACK(Dim_array,DimValues_array)))</f>
        <v>0</v>
      </c>
      <c r="H31" s="63">
        <f t="shared" si="6"/>
        <v>0</v>
      </c>
      <c r="I31" s="63" cm="1">
        <f t="array" ref="I31">IF($C31="",0,_xll.BC.BUDGETTURNOVER(Connection,$C31,,,$G$20,H$1,H$2,_xlfn.HSTACK(Dim_array,DimValues_array)))</f>
        <v>0</v>
      </c>
      <c r="J31" s="63">
        <f t="shared" si="5"/>
        <v>0</v>
      </c>
      <c r="K31" s="60"/>
      <c r="L31" s="21" cm="1">
        <f t="array" ref="L31">_xlfn.IFS(
L$3="Actual",IF($C31="",0,_xll.BC.TURNOVER(Connection,$C31,,,L$1,L$2,_xlfn.HSTACK(Dim_array,DimValues_array))),
L$3="Budget",IF($C31="",0,IF($G$3=FALSE,0,_xll.BC.BUDGETTURNOVER(Connection,$C31,,,$G$20,L$1,L$2,_xlfn.HSTACK(Dim_array,DimValues_array)))))</f>
        <v>0</v>
      </c>
      <c r="M31" s="21" cm="1">
        <f t="array" ref="M31">_xlfn.IFS(
M$3="Actual",IF($C31="",0,_xll.BC.TURNOVER(Connection,$C31,,,M$1,M$2,_xlfn.HSTACK(Dim_array,DimValues_array))),
M$3="Budget",IF($C31="",0,IF($G$3=FALSE,0,_xll.BC.BUDGETTURNOVER(Connection,$C31,,,$G$20,M$1,M$2,_xlfn.HSTACK(Dim_array,DimValues_array)))))</f>
        <v>0</v>
      </c>
      <c r="N31" s="21" cm="1">
        <f t="array" ref="N31">_xlfn.IFS(
N$3="Actual",IF($C31="",0,_xll.BC.TURNOVER(Connection,$C31,,,N$1,N$2,_xlfn.HSTACK(Dim_array,DimValues_array))),
N$3="Budget",IF($C31="",0,IF($G$3=FALSE,0,_xll.BC.BUDGETTURNOVER(Connection,$C31,,,$G$20,N$1,N$2,_xlfn.HSTACK(Dim_array,DimValues_array)))))</f>
        <v>0</v>
      </c>
      <c r="O31" s="21" cm="1">
        <f t="array" ref="O31">_xlfn.IFS(
O$3="Actual",IF($C31="",0,_xll.BC.TURNOVER(Connection,$C31,,,O$1,O$2,_xlfn.HSTACK(Dim_array,DimValues_array))),
O$3="Budget",IF($C31="",0,IF($G$3=FALSE,0,_xll.BC.BUDGETTURNOVER(Connection,$C31,,,$G$20,O$1,O$2,_xlfn.HSTACK(Dim_array,DimValues_array)))))</f>
        <v>0</v>
      </c>
      <c r="P31" s="21" cm="1">
        <f t="array" ref="P31">_xlfn.IFS(
P$3="Actual",IF($C31="",0,_xll.BC.TURNOVER(Connection,$C31,,,P$1,P$2,_xlfn.HSTACK(Dim_array,DimValues_array))),
P$3="Budget",IF($C31="",0,IF($G$3=FALSE,0,_xll.BC.BUDGETTURNOVER(Connection,$C31,,,$G$20,P$1,P$2,_xlfn.HSTACK(Dim_array,DimValues_array)))))</f>
        <v>0</v>
      </c>
      <c r="Q31" s="21" cm="1">
        <f t="array" ref="Q31">_xlfn.IFS(
Q$3="Actual",IF($C31="",0,_xll.BC.TURNOVER(Connection,$C31,,,Q$1,Q$2,_xlfn.HSTACK(Dim_array,DimValues_array))),
Q$3="Budget",IF($C31="",0,IF($G$3=FALSE,0,_xll.BC.BUDGETTURNOVER(Connection,$C31,,,$G$20,Q$1,Q$2,_xlfn.HSTACK(Dim_array,DimValues_array)))))</f>
        <v>0</v>
      </c>
      <c r="R31" s="21" cm="1">
        <f t="array" ref="R31">_xlfn.IFS(
R$3="Actual",IF($C31="",0,_xll.BC.TURNOVER(Connection,$C31,,,R$1,R$2,_xlfn.HSTACK(Dim_array,DimValues_array))),
R$3="Budget",IF($C31="",0,IF($G$3=FALSE,0,_xll.BC.BUDGETTURNOVER(Connection,$C31,,,$G$20,R$1,R$2,_xlfn.HSTACK(Dim_array,DimValues_array)))))</f>
        <v>0</v>
      </c>
      <c r="S31" s="21" cm="1">
        <f t="array" ref="S31">_xlfn.IFS(
S$3="Actual",IF($C31="",0,_xll.BC.TURNOVER(Connection,$C31,,,S$1,S$2,_xlfn.HSTACK(Dim_array,DimValues_array))),
S$3="Budget",IF($C31="",0,IF($G$3=FALSE,0,_xll.BC.BUDGETTURNOVER(Connection,$C31,,,$G$20,S$1,S$2,_xlfn.HSTACK(Dim_array,DimValues_array)))))</f>
        <v>0</v>
      </c>
      <c r="T31" s="21" cm="1">
        <f t="array" ref="T31">_xlfn.IFS(
T$3="Actual",IF($C31="",0,_xll.BC.TURNOVER(Connection,$C31,,,T$1,T$2,_xlfn.HSTACK(Dim_array,DimValues_array))),
T$3="Budget",IF($C31="",0,IF($G$3=FALSE,0,_xll.BC.BUDGETTURNOVER(Connection,$C31,,,$G$20,T$1,T$2,_xlfn.HSTACK(Dim_array,DimValues_array)))))</f>
        <v>0</v>
      </c>
      <c r="U31" s="21" cm="1">
        <f t="array" ref="U31">_xlfn.IFS(
U$3="Actual",IF($C31="",0,_xll.BC.TURNOVER(Connection,$C31,,,U$1,U$2,_xlfn.HSTACK(Dim_array,DimValues_array))),
U$3="Budget",IF($C31="",0,IF($G$3=FALSE,0,_xll.BC.BUDGETTURNOVER(Connection,$C31,,,$G$20,U$1,U$2,_xlfn.HSTACK(Dim_array,DimValues_array)))))</f>
        <v>0</v>
      </c>
      <c r="V31" s="21" cm="1">
        <f t="array" ref="V31">_xlfn.IFS(
V$3="Actual",IF($C31="",0,_xll.BC.TURNOVER(Connection,$C31,,,V$1,V$2,_xlfn.HSTACK(Dim_array,DimValues_array))),
V$3="Budget",IF($C31="",0,IF($G$3=FALSE,0,_xll.BC.BUDGETTURNOVER(Connection,$C31,,,$G$20,V$1,V$2,_xlfn.HSTACK(Dim_array,DimValues_array)))))</f>
        <v>0</v>
      </c>
      <c r="W31" s="21" cm="1">
        <f t="array" ref="W31">_xlfn.IFS(
W$3="Actual",IF($C31="",0,_xll.BC.TURNOVER(Connection,$C31,,,W$1,W$2,_xlfn.HSTACK(Dim_array,DimValues_array))),
W$3="Budget",IF($C31="",0,IF($G$3=FALSE,0,_xll.BC.BUDGETTURNOVER(Connection,$C31,,,$G$20,W$1,W$2,_xlfn.HSTACK(Dim_array,DimValues_array)))))</f>
        <v>0</v>
      </c>
    </row>
    <row r="32" spans="1:23" s="19" customFormat="1">
      <c r="A32" s="19" t="str" cm="1">
        <f t="array" ref="A32">_xlfn.IFS(
 B32="","",
 B32="Assets",1,
 B32="Liabilities",-1,
 B32="Equity",-1,
 B32="Income",-1,
 B32="Cost of Goods Sold",1,
 B32="Expense",1)</f>
        <v/>
      </c>
      <c r="B32" s="19" t="str" cm="1">
        <f t="array" ref="B32">IF(C32="","",_xlfn.UNIQUE(_xll.BC.ACCOUNTCATEGORY(Connection,_xll.VXTEXTSPLIT(C32,";"))))</f>
        <v/>
      </c>
      <c r="C32" s="45"/>
      <c r="D32" s="43"/>
      <c r="E32" s="43"/>
      <c r="F32" s="53" t="s">
        <v>53</v>
      </c>
      <c r="G32" s="64">
        <f>SUM(G25:G31)-G24</f>
        <v>11249.330000000016</v>
      </c>
      <c r="H32" s="64">
        <f t="shared" ref="H32:I32" si="7">SUM(H25:H31)-H24</f>
        <v>-9659238.2300000004</v>
      </c>
      <c r="I32" s="64">
        <f t="shared" si="7"/>
        <v>-16511611.260000002</v>
      </c>
      <c r="J32" s="64">
        <f t="shared" si="5"/>
        <v>6852373.0300000012</v>
      </c>
      <c r="K32" s="60"/>
      <c r="L32" s="64">
        <f t="shared" ref="L32:W32" si="8">SUM(L25:L31)-L24</f>
        <v>8423.8300000000017</v>
      </c>
      <c r="M32" s="64">
        <f t="shared" si="8"/>
        <v>14184.130000000008</v>
      </c>
      <c r="N32" s="64">
        <f t="shared" si="8"/>
        <v>-23970.330000000013</v>
      </c>
      <c r="O32" s="64">
        <f t="shared" si="8"/>
        <v>3892.5</v>
      </c>
      <c r="P32" s="64">
        <f t="shared" si="8"/>
        <v>4048.2000000000007</v>
      </c>
      <c r="Q32" s="64">
        <f t="shared" si="8"/>
        <v>4670.9999999999927</v>
      </c>
      <c r="R32" s="64">
        <f t="shared" si="8"/>
        <v>-1427548.1599999999</v>
      </c>
      <c r="S32" s="64">
        <f t="shared" si="8"/>
        <v>-1473598.1199999999</v>
      </c>
      <c r="T32" s="64">
        <f t="shared" si="8"/>
        <v>-1565697.98</v>
      </c>
      <c r="U32" s="64">
        <f t="shared" si="8"/>
        <v>-1657797.87</v>
      </c>
      <c r="V32" s="64">
        <f t="shared" si="8"/>
        <v>-1749897.74</v>
      </c>
      <c r="W32" s="64">
        <f t="shared" si="8"/>
        <v>-1795947.6900000002</v>
      </c>
    </row>
    <row r="33" spans="1:23">
      <c r="A33" s="10" t="str" cm="1">
        <f t="array" ref="A33">_xlfn.IFS(
 B33="","",
 B33="Assets",1,
 B33="Liabilities",-1,
 B33="Equity",-1,
 B33="Income",-1,
 B33="Cost of Goods Sold",1,
 B33="Expense",1)</f>
        <v/>
      </c>
      <c r="B33" s="10" t="str" cm="1">
        <f t="array" ref="B33">IF(C33="","",_xlfn.UNIQUE(_xll.BC.ACCOUNTCATEGORY(Connection,_xll.VXTEXTSPLIT(C33,";"))))</f>
        <v/>
      </c>
      <c r="C33" s="44"/>
      <c r="D33" s="33"/>
      <c r="E33" s="33"/>
      <c r="F33" s="29" t="s">
        <v>4</v>
      </c>
      <c r="G33" s="63"/>
      <c r="H33" s="63"/>
      <c r="I33" s="63"/>
      <c r="J33" s="63"/>
      <c r="K33" s="60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</row>
    <row r="34" spans="1:23">
      <c r="A34" s="10" cm="1">
        <f t="array" ref="A34">_xlfn.IFS(
 B34="","",
 B34="Assets",1,
 B34="Liabilities",-1,
 B34="Equity",-1,
 B34="Income",-1,
 B34="Cost of Goods Sold",1,
 B34="Expense",1)</f>
        <v>1</v>
      </c>
      <c r="B34" s="10" t="str" cm="1">
        <f t="array" ref="B34">IF(C34="","",_xlfn.UNIQUE(_xll.BC.ACCOUNTCATEGORY(Connection,_xll.VXTEXTSPLIT(C34,";"))))</f>
        <v>Assets</v>
      </c>
      <c r="C34" s="44" t="str" cm="1">
        <f t="array" ref="C34">_xlfn.IFS(
AND(D34="",E34=""),"",
E34&lt;&gt;"",_xlfn.TEXTJOIN(";",TRUE,_xll.BC.EXPANDACCOUNTRANGE(Connection,E34,,,"P")),
D34&lt;&gt;"",_xlfn.TEXTJOIN(";",TRUE,_xll.BC.EXPANDACCOUNTRANGE(Connection,,,D34,"P")))</f>
        <v>1110;1120;1130;1210;1220;1230;1240;1310;1320;1330;1340</v>
      </c>
      <c r="D34" s="20" t="s">
        <v>36</v>
      </c>
      <c r="E34" s="20"/>
      <c r="F34" s="40" t="s">
        <v>54</v>
      </c>
      <c r="G34" s="63" cm="1">
        <f t="array" ref="G34">IF($C34="",0,_xll.BC.TURNOVER(Connection,$C34,,,G$1,G$2,_xlfn.HSTACK(Dim_array,DimValues_array)))</f>
        <v>108565.4</v>
      </c>
      <c r="H34" s="63">
        <f t="shared" ref="H34:H36" si="9">SUM(L34:W34)</f>
        <v>293420.00000000006</v>
      </c>
      <c r="I34" s="63" cm="1">
        <f t="array" ref="I34">IF($C34="",0,_xll.BC.BUDGETTURNOVER(Connection,$C34,,,$G$20,H$1,H$2,_xlfn.HSTACK(Dim_array,DimValues_array)))</f>
        <v>315133.08</v>
      </c>
      <c r="J34" s="63">
        <f t="shared" ref="J34:J37" si="10">IF(H34="","",IFERROR(H34-I34,""))</f>
        <v>-21713.079999999958</v>
      </c>
      <c r="K34" s="60"/>
      <c r="L34" s="52" cm="1">
        <f t="array" ref="L34">_xlfn.IFS(
L$3="Actual",IF($C34="",0,_xll.BC.TURNOVER(Connection,$C34,,,L$1,L$2,_xlfn.HSTACK(Dim_array,DimValues_array))),
L$3="Budget",IF($C34="",0,IF($G$3=FALSE,0,_xll.BC.BUDGETTURNOVER(Connection,$C34,,,$G$20,L$1,L$2,_xlfn.HSTACK(Dim_array,DimValues_array)))))</f>
        <v>14671</v>
      </c>
      <c r="M34" s="52" cm="1">
        <f t="array" ref="M34">_xlfn.IFS(
M$3="Actual",IF($C34="",0,_xll.BC.TURNOVER(Connection,$C34,,,M$1,M$2,_xlfn.HSTACK(Dim_array,DimValues_array))),
M$3="Budget",IF($C34="",0,IF($G$3=FALSE,0,_xll.BC.BUDGETTURNOVER(Connection,$C34,,,$G$20,M$1,M$2,_xlfn.HSTACK(Dim_array,DimValues_array)))))</f>
        <v>16871.650000000001</v>
      </c>
      <c r="N34" s="52" cm="1">
        <f t="array" ref="N34">_xlfn.IFS(
N$3="Actual",IF($C34="",0,_xll.BC.TURNOVER(Connection,$C34,,,N$1,N$2,_xlfn.HSTACK(Dim_array,DimValues_array))),
N$3="Budget",IF($C34="",0,IF($G$3=FALSE,0,_xll.BC.BUDGETTURNOVER(Connection,$C34,,,$G$20,N$1,N$2,_xlfn.HSTACK(Dim_array,DimValues_array)))))</f>
        <v>17605.2</v>
      </c>
      <c r="O34" s="52" cm="1">
        <f t="array" ref="O34">_xlfn.IFS(
O$3="Actual",IF($C34="",0,_xll.BC.TURNOVER(Connection,$C34,,,O$1,O$2,_xlfn.HSTACK(Dim_array,DimValues_array))),
O$3="Budget",IF($C34="",0,IF($G$3=FALSE,0,_xll.BC.BUDGETTURNOVER(Connection,$C34,,,$G$20,O$1,O$2,_xlfn.HSTACK(Dim_array,DimValues_array)))))</f>
        <v>18338.75</v>
      </c>
      <c r="P34" s="52" cm="1">
        <f t="array" ref="P34">_xlfn.IFS(
P$3="Actual",IF($C34="",0,_xll.BC.TURNOVER(Connection,$C34,,,P$1,P$2,_xlfn.HSTACK(Dim_array,DimValues_array))),
P$3="Budget",IF($C34="",0,IF($G$3=FALSE,0,_xll.BC.BUDGETTURNOVER(Connection,$C34,,,$G$20,P$1,P$2,_xlfn.HSTACK(Dim_array,DimValues_array)))))</f>
        <v>19072.3</v>
      </c>
      <c r="Q34" s="52" cm="1">
        <f t="array" ref="Q34">_xlfn.IFS(
Q$3="Actual",IF($C34="",0,_xll.BC.TURNOVER(Connection,$C34,,,Q$1,Q$2,_xlfn.HSTACK(Dim_array,DimValues_array))),
Q$3="Budget",IF($C34="",0,IF($G$3=FALSE,0,_xll.BC.BUDGETTURNOVER(Connection,$C34,,,$G$20,Q$1,Q$2,_xlfn.HSTACK(Dim_array,DimValues_array)))))</f>
        <v>22006.5</v>
      </c>
      <c r="R34" s="52" cm="1">
        <f t="array" ref="R34">_xlfn.IFS(
R$3="Actual",IF($C34="",0,_xll.BC.TURNOVER(Connection,$C34,,,R$1,R$2,_xlfn.HSTACK(Dim_array,DimValues_array))),
R$3="Budget",IF($C34="",0,IF($G$3=FALSE,0,_xll.BC.BUDGETTURNOVER(Connection,$C34,,,$G$20,R$1,R$2,_xlfn.HSTACK(Dim_array,DimValues_array)))))</f>
        <v>27288.06</v>
      </c>
      <c r="S34" s="52" cm="1">
        <f t="array" ref="S34">_xlfn.IFS(
S$3="Actual",IF($C34="",0,_xll.BC.TURNOVER(Connection,$C34,,,S$1,S$2,_xlfn.HSTACK(Dim_array,DimValues_array))),
S$3="Budget",IF($C34="",0,IF($G$3=FALSE,0,_xll.BC.BUDGETTURNOVER(Connection,$C34,,,$G$20,S$1,S$2,_xlfn.HSTACK(Dim_array,DimValues_array)))))</f>
        <v>28168.32</v>
      </c>
      <c r="T34" s="52" cm="1">
        <f t="array" ref="T34">_xlfn.IFS(
T$3="Actual",IF($C34="",0,_xll.BC.TURNOVER(Connection,$C34,,,T$1,T$2,_xlfn.HSTACK(Dim_array,DimValues_array))),
T$3="Budget",IF($C34="",0,IF($G$3=FALSE,0,_xll.BC.BUDGETTURNOVER(Connection,$C34,,,$G$20,T$1,T$2,_xlfn.HSTACK(Dim_array,DimValues_array)))))</f>
        <v>29928.84</v>
      </c>
      <c r="U34" s="52" cm="1">
        <f t="array" ref="U34">_xlfn.IFS(
U$3="Actual",IF($C34="",0,_xll.BC.TURNOVER(Connection,$C34,,,U$1,U$2,_xlfn.HSTACK(Dim_array,DimValues_array))),
U$3="Budget",IF($C34="",0,IF($G$3=FALSE,0,_xll.BC.BUDGETTURNOVER(Connection,$C34,,,$G$20,U$1,U$2,_xlfn.HSTACK(Dim_array,DimValues_array)))))</f>
        <v>31689.360000000001</v>
      </c>
      <c r="V34" s="52" cm="1">
        <f t="array" ref="V34">_xlfn.IFS(
V$3="Actual",IF($C34="",0,_xll.BC.TURNOVER(Connection,$C34,,,V$1,V$2,_xlfn.HSTACK(Dim_array,DimValues_array))),
V$3="Budget",IF($C34="",0,IF($G$3=FALSE,0,_xll.BC.BUDGETTURNOVER(Connection,$C34,,,$G$20,V$1,V$2,_xlfn.HSTACK(Dim_array,DimValues_array)))))</f>
        <v>33449.879999999997</v>
      </c>
      <c r="W34" s="52" cm="1">
        <f t="array" ref="W34">_xlfn.IFS(
W$3="Actual",IF($C34="",0,_xll.BC.TURNOVER(Connection,$C34,,,W$1,W$2,_xlfn.HSTACK(Dim_array,DimValues_array))),
W$3="Budget",IF($C34="",0,IF($G$3=FALSE,0,_xll.BC.BUDGETTURNOVER(Connection,$C34,,,$G$20,W$1,W$2,_xlfn.HSTACK(Dim_array,DimValues_array)))))</f>
        <v>34330.14</v>
      </c>
    </row>
    <row r="35" spans="1:23">
      <c r="A35" s="10" t="str" cm="1">
        <f t="array" ref="A35">_xlfn.IFS(
 B35="","",
 B35="Assets",1,
 B35="Liabilities",-1,
 B35="Equity",-1,
 B35="Income",-1,
 B35="Cost of Goods Sold",1,
 B35="Expense",1)</f>
        <v/>
      </c>
      <c r="B35" s="10" t="str" cm="1">
        <f t="array" ref="B35">IF(C35="","",_xlfn.UNIQUE(_xll.BC.ACCOUNTCATEGORY(Connection,_xll.VXTEXTSPLIT(C35,";"))))</f>
        <v/>
      </c>
      <c r="C35" s="44" t="str" cm="1">
        <f t="array" ref="C35">_xlfn.IFS(
AND(D35="",E35=""),"",
E35&lt;&gt;"",_xlfn.TEXTJOIN(";",TRUE,_xll.BC.EXPANDACCOUNTRANGE(Connection,E35,,,"P")),
D35&lt;&gt;"",_xlfn.TEXTJOIN(";",TRUE,_xll.BC.EXPANDACCOUNTRANGE(Connection,,,D35,"P")))</f>
        <v/>
      </c>
      <c r="D35" s="20"/>
      <c r="E35" s="20"/>
      <c r="F35" s="40" t="s">
        <v>55</v>
      </c>
      <c r="G35" s="63" cm="1">
        <f t="array" ref="G35">IF($C35="",0,_xll.BC.TURNOVER(Connection,$C35,,,G$1,G$2,_xlfn.HSTACK(Dim_array,DimValues_array)))</f>
        <v>0</v>
      </c>
      <c r="H35" s="63">
        <f t="shared" si="9"/>
        <v>0</v>
      </c>
      <c r="I35" s="63" cm="1">
        <f t="array" ref="I35">IF($C35="",0,_xll.BC.BUDGETTURNOVER(Connection,$C35,,,$G$20,H$1,H$2,_xlfn.HSTACK(Dim_array,DimValues_array)))</f>
        <v>0</v>
      </c>
      <c r="J35" s="63">
        <f t="shared" si="10"/>
        <v>0</v>
      </c>
      <c r="K35" s="60"/>
      <c r="L35" s="52" cm="1">
        <f t="array" ref="L35">_xlfn.IFS(
L$3="Actual",IF($C35="",0,_xll.BC.TURNOVER(Connection,$C35,,,L$1,L$2,_xlfn.HSTACK(Dim_array,DimValues_array))),
L$3="Budget",IF($C35="",0,IF($G$3=FALSE,0,_xll.BC.BUDGETTURNOVER(Connection,$C35,,,$G$20,L$1,L$2,_xlfn.HSTACK(Dim_array,DimValues_array)))))</f>
        <v>0</v>
      </c>
      <c r="M35" s="52" cm="1">
        <f t="array" ref="M35">_xlfn.IFS(
M$3="Actual",IF($C35="",0,_xll.BC.TURNOVER(Connection,$C35,,,M$1,M$2,_xlfn.HSTACK(Dim_array,DimValues_array))),
M$3="Budget",IF($C35="",0,IF($G$3=FALSE,0,_xll.BC.BUDGETTURNOVER(Connection,$C35,,,$G$20,M$1,M$2,_xlfn.HSTACK(Dim_array,DimValues_array)))))</f>
        <v>0</v>
      </c>
      <c r="N35" s="52" cm="1">
        <f t="array" ref="N35">_xlfn.IFS(
N$3="Actual",IF($C35="",0,_xll.BC.TURNOVER(Connection,$C35,,,N$1,N$2,_xlfn.HSTACK(Dim_array,DimValues_array))),
N$3="Budget",IF($C35="",0,IF($G$3=FALSE,0,_xll.BC.BUDGETTURNOVER(Connection,$C35,,,$G$20,N$1,N$2,_xlfn.HSTACK(Dim_array,DimValues_array)))))</f>
        <v>0</v>
      </c>
      <c r="O35" s="52" cm="1">
        <f t="array" ref="O35">_xlfn.IFS(
O$3="Actual",IF($C35="",0,_xll.BC.TURNOVER(Connection,$C35,,,O$1,O$2,_xlfn.HSTACK(Dim_array,DimValues_array))),
O$3="Budget",IF($C35="",0,IF($G$3=FALSE,0,_xll.BC.BUDGETTURNOVER(Connection,$C35,,,$G$20,O$1,O$2,_xlfn.HSTACK(Dim_array,DimValues_array)))))</f>
        <v>0</v>
      </c>
      <c r="P35" s="52" cm="1">
        <f t="array" ref="P35">_xlfn.IFS(
P$3="Actual",IF($C35="",0,_xll.BC.TURNOVER(Connection,$C35,,,P$1,P$2,_xlfn.HSTACK(Dim_array,DimValues_array))),
P$3="Budget",IF($C35="",0,IF($G$3=FALSE,0,_xll.BC.BUDGETTURNOVER(Connection,$C35,,,$G$20,P$1,P$2,_xlfn.HSTACK(Dim_array,DimValues_array)))))</f>
        <v>0</v>
      </c>
      <c r="Q35" s="52" cm="1">
        <f t="array" ref="Q35">_xlfn.IFS(
Q$3="Actual",IF($C35="",0,_xll.BC.TURNOVER(Connection,$C35,,,Q$1,Q$2,_xlfn.HSTACK(Dim_array,DimValues_array))),
Q$3="Budget",IF($C35="",0,IF($G$3=FALSE,0,_xll.BC.BUDGETTURNOVER(Connection,$C35,,,$G$20,Q$1,Q$2,_xlfn.HSTACK(Dim_array,DimValues_array)))))</f>
        <v>0</v>
      </c>
      <c r="R35" s="52" cm="1">
        <f t="array" ref="R35">_xlfn.IFS(
R$3="Actual",IF($C35="",0,_xll.BC.TURNOVER(Connection,$C35,,,R$1,R$2,_xlfn.HSTACK(Dim_array,DimValues_array))),
R$3="Budget",IF($C35="",0,IF($G$3=FALSE,0,_xll.BC.BUDGETTURNOVER(Connection,$C35,,,$G$20,R$1,R$2,_xlfn.HSTACK(Dim_array,DimValues_array)))))</f>
        <v>0</v>
      </c>
      <c r="S35" s="52" cm="1">
        <f t="array" ref="S35">_xlfn.IFS(
S$3="Actual",IF($C35="",0,_xll.BC.TURNOVER(Connection,$C35,,,S$1,S$2,_xlfn.HSTACK(Dim_array,DimValues_array))),
S$3="Budget",IF($C35="",0,IF($G$3=FALSE,0,_xll.BC.BUDGETTURNOVER(Connection,$C35,,,$G$20,S$1,S$2,_xlfn.HSTACK(Dim_array,DimValues_array)))))</f>
        <v>0</v>
      </c>
      <c r="T35" s="52" cm="1">
        <f t="array" ref="T35">_xlfn.IFS(
T$3="Actual",IF($C35="",0,_xll.BC.TURNOVER(Connection,$C35,,,T$1,T$2,_xlfn.HSTACK(Dim_array,DimValues_array))),
T$3="Budget",IF($C35="",0,IF($G$3=FALSE,0,_xll.BC.BUDGETTURNOVER(Connection,$C35,,,$G$20,T$1,T$2,_xlfn.HSTACK(Dim_array,DimValues_array)))))</f>
        <v>0</v>
      </c>
      <c r="U35" s="52" cm="1">
        <f t="array" ref="U35">_xlfn.IFS(
U$3="Actual",IF($C35="",0,_xll.BC.TURNOVER(Connection,$C35,,,U$1,U$2,_xlfn.HSTACK(Dim_array,DimValues_array))),
U$3="Budget",IF($C35="",0,IF($G$3=FALSE,0,_xll.BC.BUDGETTURNOVER(Connection,$C35,,,$G$20,U$1,U$2,_xlfn.HSTACK(Dim_array,DimValues_array)))))</f>
        <v>0</v>
      </c>
      <c r="V35" s="52" cm="1">
        <f t="array" ref="V35">_xlfn.IFS(
V$3="Actual",IF($C35="",0,_xll.BC.TURNOVER(Connection,$C35,,,V$1,V$2,_xlfn.HSTACK(Dim_array,DimValues_array))),
V$3="Budget",IF($C35="",0,IF($G$3=FALSE,0,_xll.BC.BUDGETTURNOVER(Connection,$C35,,,$G$20,V$1,V$2,_xlfn.HSTACK(Dim_array,DimValues_array)))))</f>
        <v>0</v>
      </c>
      <c r="W35" s="52" cm="1">
        <f t="array" ref="W35">_xlfn.IFS(
W$3="Actual",IF($C35="",0,_xll.BC.TURNOVER(Connection,$C35,,,W$1,W$2,_xlfn.HSTACK(Dim_array,DimValues_array))),
W$3="Budget",IF($C35="",0,IF($G$3=FALSE,0,_xll.BC.BUDGETTURNOVER(Connection,$C35,,,$G$20,W$1,W$2,_xlfn.HSTACK(Dim_array,DimValues_array)))))</f>
        <v>0</v>
      </c>
    </row>
    <row r="36" spans="1:23">
      <c r="A36" s="10" t="str" cm="1">
        <f t="array" ref="A36">_xlfn.IFS(
 B36="","",
 B36="Assets",1,
 B36="Liabilities",-1,
 B36="Equity",-1,
 B36="Income",-1,
 B36="Cost of Goods Sold",1,
 B36="Expense",1)</f>
        <v/>
      </c>
      <c r="B36" s="10" t="str" cm="1">
        <f t="array" ref="B36">IF(C36="","",_xlfn.UNIQUE(_xll.BC.ACCOUNTCATEGORY(Connection,_xll.VXTEXTSPLIT(C36,";"))))</f>
        <v/>
      </c>
      <c r="C36" s="44" t="str" cm="1">
        <f t="array" ref="C36">_xlfn.IFS(
AND(D36="",E36=""),"",
E36&lt;&gt;"",_xlfn.TEXTJOIN(";",TRUE,_xll.BC.EXPANDACCOUNTRANGE(Connection,E36,,,"P")),
D36&lt;&gt;"",_xlfn.TEXTJOIN(";",TRUE,_xll.BC.EXPANDACCOUNTRANGE(Connection,,,D36,"P")))</f>
        <v/>
      </c>
      <c r="D36" s="20"/>
      <c r="E36" s="20"/>
      <c r="F36" s="40" t="s">
        <v>56</v>
      </c>
      <c r="G36" s="63" cm="1">
        <f t="array" ref="G36">IF($C36="",0,_xll.BC.TURNOVER(Connection,$C36,,,G$1,G$2,_xlfn.HSTACK(Dim_array,DimValues_array)))</f>
        <v>0</v>
      </c>
      <c r="H36" s="63">
        <f t="shared" si="9"/>
        <v>0</v>
      </c>
      <c r="I36" s="63" cm="1">
        <f t="array" ref="I36">IF($C36="",0,_xll.BC.BUDGETTURNOVER(Connection,$C36,,,$G$20,H$1,H$2,_xlfn.HSTACK(Dim_array,DimValues_array)))</f>
        <v>0</v>
      </c>
      <c r="J36" s="63">
        <f t="shared" si="10"/>
        <v>0</v>
      </c>
      <c r="K36" s="60"/>
      <c r="L36" s="52" cm="1">
        <f t="array" ref="L36">_xlfn.IFS(
L$3="Actual",IF($C36="",0,_xll.BC.TURNOVER(Connection,$C36,,,L$1,L$2,_xlfn.HSTACK(Dim_array,DimValues_array))),
L$3="Budget",IF($C36="",0,IF($G$3=FALSE,0,_xll.BC.BUDGETTURNOVER(Connection,$C36,,,$G$20,L$1,L$2,_xlfn.HSTACK(Dim_array,DimValues_array)))))</f>
        <v>0</v>
      </c>
      <c r="M36" s="52" cm="1">
        <f t="array" ref="M36">_xlfn.IFS(
M$3="Actual",IF($C36="",0,_xll.BC.TURNOVER(Connection,$C36,,,M$1,M$2,_xlfn.HSTACK(Dim_array,DimValues_array))),
M$3="Budget",IF($C36="",0,IF($G$3=FALSE,0,_xll.BC.BUDGETTURNOVER(Connection,$C36,,,$G$20,M$1,M$2,_xlfn.HSTACK(Dim_array,DimValues_array)))))</f>
        <v>0</v>
      </c>
      <c r="N36" s="52" cm="1">
        <f t="array" ref="N36">_xlfn.IFS(
N$3="Actual",IF($C36="",0,_xll.BC.TURNOVER(Connection,$C36,,,N$1,N$2,_xlfn.HSTACK(Dim_array,DimValues_array))),
N$3="Budget",IF($C36="",0,IF($G$3=FALSE,0,_xll.BC.BUDGETTURNOVER(Connection,$C36,,,$G$20,N$1,N$2,_xlfn.HSTACK(Dim_array,DimValues_array)))))</f>
        <v>0</v>
      </c>
      <c r="O36" s="52" cm="1">
        <f t="array" ref="O36">_xlfn.IFS(
O$3="Actual",IF($C36="",0,_xll.BC.TURNOVER(Connection,$C36,,,O$1,O$2,_xlfn.HSTACK(Dim_array,DimValues_array))),
O$3="Budget",IF($C36="",0,IF($G$3=FALSE,0,_xll.BC.BUDGETTURNOVER(Connection,$C36,,,$G$20,O$1,O$2,_xlfn.HSTACK(Dim_array,DimValues_array)))))</f>
        <v>0</v>
      </c>
      <c r="P36" s="52" cm="1">
        <f t="array" ref="P36">_xlfn.IFS(
P$3="Actual",IF($C36="",0,_xll.BC.TURNOVER(Connection,$C36,,,P$1,P$2,_xlfn.HSTACK(Dim_array,DimValues_array))),
P$3="Budget",IF($C36="",0,IF($G$3=FALSE,0,_xll.BC.BUDGETTURNOVER(Connection,$C36,,,$G$20,P$1,P$2,_xlfn.HSTACK(Dim_array,DimValues_array)))))</f>
        <v>0</v>
      </c>
      <c r="Q36" s="52" cm="1">
        <f t="array" ref="Q36">_xlfn.IFS(
Q$3="Actual",IF($C36="",0,_xll.BC.TURNOVER(Connection,$C36,,,Q$1,Q$2,_xlfn.HSTACK(Dim_array,DimValues_array))),
Q$3="Budget",IF($C36="",0,IF($G$3=FALSE,0,_xll.BC.BUDGETTURNOVER(Connection,$C36,,,$G$20,Q$1,Q$2,_xlfn.HSTACK(Dim_array,DimValues_array)))))</f>
        <v>0</v>
      </c>
      <c r="R36" s="52" cm="1">
        <f t="array" ref="R36">_xlfn.IFS(
R$3="Actual",IF($C36="",0,_xll.BC.TURNOVER(Connection,$C36,,,R$1,R$2,_xlfn.HSTACK(Dim_array,DimValues_array))),
R$3="Budget",IF($C36="",0,IF($G$3=FALSE,0,_xll.BC.BUDGETTURNOVER(Connection,$C36,,,$G$20,R$1,R$2,_xlfn.HSTACK(Dim_array,DimValues_array)))))</f>
        <v>0</v>
      </c>
      <c r="S36" s="52" cm="1">
        <f t="array" ref="S36">_xlfn.IFS(
S$3="Actual",IF($C36="",0,_xll.BC.TURNOVER(Connection,$C36,,,S$1,S$2,_xlfn.HSTACK(Dim_array,DimValues_array))),
S$3="Budget",IF($C36="",0,IF($G$3=FALSE,0,_xll.BC.BUDGETTURNOVER(Connection,$C36,,,$G$20,S$1,S$2,_xlfn.HSTACK(Dim_array,DimValues_array)))))</f>
        <v>0</v>
      </c>
      <c r="T36" s="52" cm="1">
        <f t="array" ref="T36">_xlfn.IFS(
T$3="Actual",IF($C36="",0,_xll.BC.TURNOVER(Connection,$C36,,,T$1,T$2,_xlfn.HSTACK(Dim_array,DimValues_array))),
T$3="Budget",IF($C36="",0,IF($G$3=FALSE,0,_xll.BC.BUDGETTURNOVER(Connection,$C36,,,$G$20,T$1,T$2,_xlfn.HSTACK(Dim_array,DimValues_array)))))</f>
        <v>0</v>
      </c>
      <c r="U36" s="52" cm="1">
        <f t="array" ref="U36">_xlfn.IFS(
U$3="Actual",IF($C36="",0,_xll.BC.TURNOVER(Connection,$C36,,,U$1,U$2,_xlfn.HSTACK(Dim_array,DimValues_array))),
U$3="Budget",IF($C36="",0,IF($G$3=FALSE,0,_xll.BC.BUDGETTURNOVER(Connection,$C36,,,$G$20,U$1,U$2,_xlfn.HSTACK(Dim_array,DimValues_array)))))</f>
        <v>0</v>
      </c>
      <c r="V36" s="52" cm="1">
        <f t="array" ref="V36">_xlfn.IFS(
V$3="Actual",IF($C36="",0,_xll.BC.TURNOVER(Connection,$C36,,,V$1,V$2,_xlfn.HSTACK(Dim_array,DimValues_array))),
V$3="Budget",IF($C36="",0,IF($G$3=FALSE,0,_xll.BC.BUDGETTURNOVER(Connection,$C36,,,$G$20,V$1,V$2,_xlfn.HSTACK(Dim_array,DimValues_array)))))</f>
        <v>0</v>
      </c>
      <c r="W36" s="52" cm="1">
        <f t="array" ref="W36">_xlfn.IFS(
W$3="Actual",IF($C36="",0,_xll.BC.TURNOVER(Connection,$C36,,,W$1,W$2,_xlfn.HSTACK(Dim_array,DimValues_array))),
W$3="Budget",IF($C36="",0,IF($G$3=FALSE,0,_xll.BC.BUDGETTURNOVER(Connection,$C36,,,$G$20,W$1,W$2,_xlfn.HSTACK(Dim_array,DimValues_array)))))</f>
        <v>0</v>
      </c>
    </row>
    <row r="37" spans="1:23" s="19" customFormat="1">
      <c r="A37" s="10" t="str" cm="1">
        <f t="array" ref="A37">_xlfn.IFS(
 B37="","",
 B37="Assets",1,
 B37="Liabilities",-1,
 B37="Equity",-1,
 B37="Income",-1,
 B37="Cost of Goods Sold",1,
 B37="Expense",1)</f>
        <v/>
      </c>
      <c r="B37" s="10" t="str" cm="1">
        <f t="array" ref="B37">IF(C37="","",_xlfn.UNIQUE(_xll.BC.ACCOUNTCATEGORY(Connection,_xll.VXTEXTSPLIT(C37,";"))))</f>
        <v/>
      </c>
      <c r="C37" s="44"/>
      <c r="D37" s="33"/>
      <c r="E37" s="33"/>
      <c r="F37" s="53" t="s">
        <v>5</v>
      </c>
      <c r="G37" s="64">
        <f>SUM(G34:G36)</f>
        <v>108565.4</v>
      </c>
      <c r="H37" s="64">
        <f t="shared" ref="H37:I37" si="11">SUM(H34:H36)</f>
        <v>293420.00000000006</v>
      </c>
      <c r="I37" s="64">
        <f t="shared" si="11"/>
        <v>315133.08</v>
      </c>
      <c r="J37" s="64">
        <f t="shared" si="10"/>
        <v>-21713.079999999958</v>
      </c>
      <c r="K37" s="60"/>
      <c r="L37" s="64">
        <f t="shared" ref="L37" si="12">SUM(L34:L36)</f>
        <v>14671</v>
      </c>
      <c r="M37" s="64">
        <f t="shared" ref="M37" si="13">SUM(M34:M36)</f>
        <v>16871.650000000001</v>
      </c>
      <c r="N37" s="64">
        <f t="shared" ref="N37" si="14">SUM(N34:N36)</f>
        <v>17605.2</v>
      </c>
      <c r="O37" s="64">
        <f t="shared" ref="O37" si="15">SUM(O34:O36)</f>
        <v>18338.75</v>
      </c>
      <c r="P37" s="64">
        <f t="shared" ref="P37" si="16">SUM(P34:P36)</f>
        <v>19072.3</v>
      </c>
      <c r="Q37" s="64">
        <f t="shared" ref="Q37" si="17">SUM(Q34:Q36)</f>
        <v>22006.5</v>
      </c>
      <c r="R37" s="64">
        <f t="shared" ref="R37" si="18">SUM(R34:R36)</f>
        <v>27288.06</v>
      </c>
      <c r="S37" s="64">
        <f t="shared" ref="S37" si="19">SUM(S34:S36)</f>
        <v>28168.32</v>
      </c>
      <c r="T37" s="64">
        <f t="shared" ref="T37" si="20">SUM(T34:T36)</f>
        <v>29928.84</v>
      </c>
      <c r="U37" s="64">
        <f t="shared" ref="U37" si="21">SUM(U34:U36)</f>
        <v>31689.360000000001</v>
      </c>
      <c r="V37" s="64">
        <f t="shared" ref="V37" si="22">SUM(V34:V36)</f>
        <v>33449.879999999997</v>
      </c>
      <c r="W37" s="64">
        <f t="shared" ref="W37" si="23">SUM(W34:W36)</f>
        <v>34330.14</v>
      </c>
    </row>
    <row r="38" spans="1:23">
      <c r="A38" s="10" t="str" cm="1">
        <f t="array" ref="A38">_xlfn.IFS(
 B38="","",
 B38="Assets",1,
 B38="Liabilities",-1,
 B38="Equity",-1,
 B38="Income",-1,
 B38="Cost of Goods Sold",1,
 B38="Expense",1)</f>
        <v/>
      </c>
      <c r="B38" s="10" t="str" cm="1">
        <f t="array" ref="B38">IF(C38="","",_xlfn.UNIQUE(_xll.BC.ACCOUNTCATEGORY(Connection,_xll.VXTEXTSPLIT(C38,";"))))</f>
        <v/>
      </c>
      <c r="C38" s="44"/>
      <c r="D38" s="33"/>
      <c r="E38" s="33"/>
      <c r="F38" s="29" t="s">
        <v>6</v>
      </c>
      <c r="G38" s="63"/>
      <c r="H38" s="63"/>
      <c r="I38" s="63"/>
      <c r="J38" s="63"/>
      <c r="K38" s="60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</row>
    <row r="39" spans="1:23">
      <c r="A39" s="10" cm="1">
        <f t="array" ref="A39">_xlfn.IFS(
 B39="","",
 B39="Assets",1,
 B39="Liabilities",-1,
 B39="Equity",-1,
 B39="Income",-1,
 B39="Cost of Goods Sold",1,
 B39="Expense",1)</f>
        <v>-1</v>
      </c>
      <c r="B39" s="10" t="str" cm="1">
        <f t="array" ref="B39">IF(C39="","",_xlfn.UNIQUE(_xll.BC.ACCOUNTCATEGORY(Connection,_xll.VXTEXTSPLIT(C39,";"))))</f>
        <v>Equity</v>
      </c>
      <c r="C39" s="44" t="str" cm="1">
        <f t="array" ref="C39">_xlfn.IFS(
AND(D39="",E39=""),"",
E39&lt;&gt;"",_xlfn.TEXTJOIN(";",TRUE,_xll.BC.EXPANDACCOUNTRANGE(Connection,E39,,,"P")),
D39&lt;&gt;"",_xlfn.TEXTJOIN(";",TRUE,_xll.BC.EXPANDACCOUNTRANGE(Connection,,,D39,"P")))</f>
        <v>3110</v>
      </c>
      <c r="D39" s="20" t="s">
        <v>40</v>
      </c>
      <c r="E39" s="20"/>
      <c r="F39" s="40" t="s">
        <v>57</v>
      </c>
      <c r="G39" s="63" cm="1">
        <f t="array" ref="G39">IF($C39="",0,_xll.BC.TURNOVER(Connection,$C39,,,G$1,G$2,_xlfn.HSTACK(Dim_array,DimValues_array)))</f>
        <v>-8872.6</v>
      </c>
      <c r="H39" s="63">
        <f t="shared" ref="H39:H41" si="24">SUM(L39:W39)</f>
        <v>6234.8000000000011</v>
      </c>
      <c r="I39" s="63" cm="1">
        <f t="array" ref="I39">IF($C39="",0,_xll.BC.BUDGETTURNOVER(Connection,$C39,,,$G$20,H$1,H$2,_xlfn.HSTACK(Dim_array,DimValues_array)))</f>
        <v>25754.52</v>
      </c>
      <c r="J39" s="63">
        <f t="shared" ref="J39:J42" si="25">IF(H39="","",IFERROR(H39-I39,""))</f>
        <v>-19519.72</v>
      </c>
      <c r="K39" s="60"/>
      <c r="L39" s="52" cm="1">
        <f t="array" ref="L39">_xlfn.IFS(
L$3="Actual",IF($C39="",0,_xll.BC.TURNOVER(Connection,$C39,,,L$1,L$2,_xlfn.HSTACK(Dim_array,DimValues_array))),
L$3="Budget",IF($C39="",0,IF($G$3=FALSE,0,_xll.BC.BUDGETTURNOVER(Connection,$C39,,,$G$20,L$1,L$2,_xlfn.HSTACK(Dim_array,DimValues_array)))))</f>
        <v>-1199</v>
      </c>
      <c r="M39" s="52" cm="1">
        <f t="array" ref="M39">_xlfn.IFS(
M$3="Actual",IF($C39="",0,_xll.BC.TURNOVER(Connection,$C39,,,M$1,M$2,_xlfn.HSTACK(Dim_array,DimValues_array))),
M$3="Budget",IF($C39="",0,IF($G$3=FALSE,0,_xll.BC.BUDGETTURNOVER(Connection,$C39,,,$G$20,M$1,M$2,_xlfn.HSTACK(Dim_array,DimValues_array)))))</f>
        <v>-1378.85</v>
      </c>
      <c r="N39" s="52" cm="1">
        <f t="array" ref="N39">_xlfn.IFS(
N$3="Actual",IF($C39="",0,_xll.BC.TURNOVER(Connection,$C39,,,N$1,N$2,_xlfn.HSTACK(Dim_array,DimValues_array))),
N$3="Budget",IF($C39="",0,IF($G$3=FALSE,0,_xll.BC.BUDGETTURNOVER(Connection,$C39,,,$G$20,N$1,N$2,_xlfn.HSTACK(Dim_array,DimValues_array)))))</f>
        <v>-1438.8</v>
      </c>
      <c r="O39" s="52" cm="1">
        <f t="array" ref="O39">_xlfn.IFS(
O$3="Actual",IF($C39="",0,_xll.BC.TURNOVER(Connection,$C39,,,O$1,O$2,_xlfn.HSTACK(Dim_array,DimValues_array))),
O$3="Budget",IF($C39="",0,IF($G$3=FALSE,0,_xll.BC.BUDGETTURNOVER(Connection,$C39,,,$G$20,O$1,O$2,_xlfn.HSTACK(Dim_array,DimValues_array)))))</f>
        <v>-1498.75</v>
      </c>
      <c r="P39" s="52" cm="1">
        <f t="array" ref="P39">_xlfn.IFS(
P$3="Actual",IF($C39="",0,_xll.BC.TURNOVER(Connection,$C39,,,P$1,P$2,_xlfn.HSTACK(Dim_array,DimValues_array))),
P$3="Budget",IF($C39="",0,IF($G$3=FALSE,0,_xll.BC.BUDGETTURNOVER(Connection,$C39,,,$G$20,P$1,P$2,_xlfn.HSTACK(Dim_array,DimValues_array)))))</f>
        <v>-1558.7</v>
      </c>
      <c r="Q39" s="52" cm="1">
        <f t="array" ref="Q39">_xlfn.IFS(
Q$3="Actual",IF($C39="",0,_xll.BC.TURNOVER(Connection,$C39,,,Q$1,Q$2,_xlfn.HSTACK(Dim_array,DimValues_array))),
Q$3="Budget",IF($C39="",0,IF($G$3=FALSE,0,_xll.BC.BUDGETTURNOVER(Connection,$C39,,,$G$20,Q$1,Q$2,_xlfn.HSTACK(Dim_array,DimValues_array)))))</f>
        <v>-1798.5</v>
      </c>
      <c r="R39" s="52" cm="1">
        <f t="array" ref="R39">_xlfn.IFS(
R$3="Actual",IF($C39="",0,_xll.BC.TURNOVER(Connection,$C39,,,R$1,R$2,_xlfn.HSTACK(Dim_array,DimValues_array))),
R$3="Budget",IF($C39="",0,IF($G$3=FALSE,0,_xll.BC.BUDGETTURNOVER(Connection,$C39,,,$G$20,R$1,R$2,_xlfn.HSTACK(Dim_array,DimValues_array)))))</f>
        <v>2230.14</v>
      </c>
      <c r="S39" s="52" cm="1">
        <f t="array" ref="S39">_xlfn.IFS(
S$3="Actual",IF($C39="",0,_xll.BC.TURNOVER(Connection,$C39,,,S$1,S$2,_xlfn.HSTACK(Dim_array,DimValues_array))),
S$3="Budget",IF($C39="",0,IF($G$3=FALSE,0,_xll.BC.BUDGETTURNOVER(Connection,$C39,,,$G$20,S$1,S$2,_xlfn.HSTACK(Dim_array,DimValues_array)))))</f>
        <v>2302.08</v>
      </c>
      <c r="T39" s="52" cm="1">
        <f t="array" ref="T39">_xlfn.IFS(
T$3="Actual",IF($C39="",0,_xll.BC.TURNOVER(Connection,$C39,,,T$1,T$2,_xlfn.HSTACK(Dim_array,DimValues_array))),
T$3="Budget",IF($C39="",0,IF($G$3=FALSE,0,_xll.BC.BUDGETTURNOVER(Connection,$C39,,,$G$20,T$1,T$2,_xlfn.HSTACK(Dim_array,DimValues_array)))))</f>
        <v>2445.96</v>
      </c>
      <c r="U39" s="52" cm="1">
        <f t="array" ref="U39">_xlfn.IFS(
U$3="Actual",IF($C39="",0,_xll.BC.TURNOVER(Connection,$C39,,,U$1,U$2,_xlfn.HSTACK(Dim_array,DimValues_array))),
U$3="Budget",IF($C39="",0,IF($G$3=FALSE,0,_xll.BC.BUDGETTURNOVER(Connection,$C39,,,$G$20,U$1,U$2,_xlfn.HSTACK(Dim_array,DimValues_array)))))</f>
        <v>2589.84</v>
      </c>
      <c r="V39" s="52" cm="1">
        <f t="array" ref="V39">_xlfn.IFS(
V$3="Actual",IF($C39="",0,_xll.BC.TURNOVER(Connection,$C39,,,V$1,V$2,_xlfn.HSTACK(Dim_array,DimValues_array))),
V$3="Budget",IF($C39="",0,IF($G$3=FALSE,0,_xll.BC.BUDGETTURNOVER(Connection,$C39,,,$G$20,V$1,V$2,_xlfn.HSTACK(Dim_array,DimValues_array)))))</f>
        <v>2733.72</v>
      </c>
      <c r="W39" s="52" cm="1">
        <f t="array" ref="W39">_xlfn.IFS(
W$3="Actual",IF($C39="",0,_xll.BC.TURNOVER(Connection,$C39,,,W$1,W$2,_xlfn.HSTACK(Dim_array,DimValues_array))),
W$3="Budget",IF($C39="",0,IF($G$3=FALSE,0,_xll.BC.BUDGETTURNOVER(Connection,$C39,,,$G$20,W$1,W$2,_xlfn.HSTACK(Dim_array,DimValues_array)))))</f>
        <v>2805.66</v>
      </c>
    </row>
    <row r="40" spans="1:23">
      <c r="A40" s="10" t="str" cm="1">
        <f t="array" ref="A40">_xlfn.IFS(
 B40="","",
 B40="Assets",1,
 B40="Liabilities",-1,
 B40="Equity",-1,
 B40="Income",-1,
 B40="Cost of Goods Sold",1,
 B40="Expense",1)</f>
        <v/>
      </c>
      <c r="B40" s="10" t="str" cm="1">
        <f t="array" ref="B40">IF(C40="","",_xlfn.UNIQUE(_xll.BC.ACCOUNTCATEGORY(Connection,_xll.VXTEXTSPLIT(C40,";"))))</f>
        <v/>
      </c>
      <c r="C40" s="44" t="str" cm="1">
        <f t="array" ref="C40">_xlfn.IFS(
AND(D40="",E40=""),"",
E40&lt;&gt;"",_xlfn.TEXTJOIN(";",TRUE,_xll.BC.EXPANDACCOUNTRANGE(Connection,E40,,,"P")),
D40&lt;&gt;"",_xlfn.TEXTJOIN(";",TRUE,_xll.BC.EXPANDACCOUNTRANGE(Connection,,,D40,"P")))</f>
        <v/>
      </c>
      <c r="D40" s="20"/>
      <c r="E40" s="20"/>
      <c r="F40" s="40" t="s">
        <v>58</v>
      </c>
      <c r="G40" s="63" cm="1">
        <f t="array" ref="G40">IF($C40="",0,_xll.BC.TURNOVER(Connection,$C40,,,G$1,G$2,_xlfn.HSTACK(Dim_array,DimValues_array)))</f>
        <v>0</v>
      </c>
      <c r="H40" s="63">
        <f t="shared" si="24"/>
        <v>0</v>
      </c>
      <c r="I40" s="63" cm="1">
        <f t="array" ref="I40">IF($C40="",0,_xll.BC.BUDGETTURNOVER(Connection,$C40,,,$G$20,H$1,H$2,_xlfn.HSTACK(Dim_array,DimValues_array)))</f>
        <v>0</v>
      </c>
      <c r="J40" s="63">
        <f t="shared" si="25"/>
        <v>0</v>
      </c>
      <c r="K40" s="60"/>
      <c r="L40" s="52" cm="1">
        <f t="array" ref="L40">_xlfn.IFS(
L$3="Actual",IF($C40="",0,_xll.BC.TURNOVER(Connection,$C40,,,L$1,L$2,_xlfn.HSTACK(Dim_array,DimValues_array))),
L$3="Budget",IF($C40="",0,IF($G$3=FALSE,0,_xll.BC.BUDGETTURNOVER(Connection,$C40,,,$G$20,L$1,L$2,_xlfn.HSTACK(Dim_array,DimValues_array)))))</f>
        <v>0</v>
      </c>
      <c r="M40" s="52" cm="1">
        <f t="array" ref="M40">_xlfn.IFS(
M$3="Actual",IF($C40="",0,_xll.BC.TURNOVER(Connection,$C40,,,M$1,M$2,_xlfn.HSTACK(Dim_array,DimValues_array))),
M$3="Budget",IF($C40="",0,IF($G$3=FALSE,0,_xll.BC.BUDGETTURNOVER(Connection,$C40,,,$G$20,M$1,M$2,_xlfn.HSTACK(Dim_array,DimValues_array)))))</f>
        <v>0</v>
      </c>
      <c r="N40" s="52" cm="1">
        <f t="array" ref="N40">_xlfn.IFS(
N$3="Actual",IF($C40="",0,_xll.BC.TURNOVER(Connection,$C40,,,N$1,N$2,_xlfn.HSTACK(Dim_array,DimValues_array))),
N$3="Budget",IF($C40="",0,IF($G$3=FALSE,0,_xll.BC.BUDGETTURNOVER(Connection,$C40,,,$G$20,N$1,N$2,_xlfn.HSTACK(Dim_array,DimValues_array)))))</f>
        <v>0</v>
      </c>
      <c r="O40" s="52" cm="1">
        <f t="array" ref="O40">_xlfn.IFS(
O$3="Actual",IF($C40="",0,_xll.BC.TURNOVER(Connection,$C40,,,O$1,O$2,_xlfn.HSTACK(Dim_array,DimValues_array))),
O$3="Budget",IF($C40="",0,IF($G$3=FALSE,0,_xll.BC.BUDGETTURNOVER(Connection,$C40,,,$G$20,O$1,O$2,_xlfn.HSTACK(Dim_array,DimValues_array)))))</f>
        <v>0</v>
      </c>
      <c r="P40" s="52" cm="1">
        <f t="array" ref="P40">_xlfn.IFS(
P$3="Actual",IF($C40="",0,_xll.BC.TURNOVER(Connection,$C40,,,P$1,P$2,_xlfn.HSTACK(Dim_array,DimValues_array))),
P$3="Budget",IF($C40="",0,IF($G$3=FALSE,0,_xll.BC.BUDGETTURNOVER(Connection,$C40,,,$G$20,P$1,P$2,_xlfn.HSTACK(Dim_array,DimValues_array)))))</f>
        <v>0</v>
      </c>
      <c r="Q40" s="52" cm="1">
        <f t="array" ref="Q40">_xlfn.IFS(
Q$3="Actual",IF($C40="",0,_xll.BC.TURNOVER(Connection,$C40,,,Q$1,Q$2,_xlfn.HSTACK(Dim_array,DimValues_array))),
Q$3="Budget",IF($C40="",0,IF($G$3=FALSE,0,_xll.BC.BUDGETTURNOVER(Connection,$C40,,,$G$20,Q$1,Q$2,_xlfn.HSTACK(Dim_array,DimValues_array)))))</f>
        <v>0</v>
      </c>
      <c r="R40" s="52" cm="1">
        <f t="array" ref="R40">_xlfn.IFS(
R$3="Actual",IF($C40="",0,_xll.BC.TURNOVER(Connection,$C40,,,R$1,R$2,_xlfn.HSTACK(Dim_array,DimValues_array))),
R$3="Budget",IF($C40="",0,IF($G$3=FALSE,0,_xll.BC.BUDGETTURNOVER(Connection,$C40,,,$G$20,R$1,R$2,_xlfn.HSTACK(Dim_array,DimValues_array)))))</f>
        <v>0</v>
      </c>
      <c r="S40" s="52" cm="1">
        <f t="array" ref="S40">_xlfn.IFS(
S$3="Actual",IF($C40="",0,_xll.BC.TURNOVER(Connection,$C40,,,S$1,S$2,_xlfn.HSTACK(Dim_array,DimValues_array))),
S$3="Budget",IF($C40="",0,IF($G$3=FALSE,0,_xll.BC.BUDGETTURNOVER(Connection,$C40,,,$G$20,S$1,S$2,_xlfn.HSTACK(Dim_array,DimValues_array)))))</f>
        <v>0</v>
      </c>
      <c r="T40" s="52" cm="1">
        <f t="array" ref="T40">_xlfn.IFS(
T$3="Actual",IF($C40="",0,_xll.BC.TURNOVER(Connection,$C40,,,T$1,T$2,_xlfn.HSTACK(Dim_array,DimValues_array))),
T$3="Budget",IF($C40="",0,IF($G$3=FALSE,0,_xll.BC.BUDGETTURNOVER(Connection,$C40,,,$G$20,T$1,T$2,_xlfn.HSTACK(Dim_array,DimValues_array)))))</f>
        <v>0</v>
      </c>
      <c r="U40" s="52" cm="1">
        <f t="array" ref="U40">_xlfn.IFS(
U$3="Actual",IF($C40="",0,_xll.BC.TURNOVER(Connection,$C40,,,U$1,U$2,_xlfn.HSTACK(Dim_array,DimValues_array))),
U$3="Budget",IF($C40="",0,IF($G$3=FALSE,0,_xll.BC.BUDGETTURNOVER(Connection,$C40,,,$G$20,U$1,U$2,_xlfn.HSTACK(Dim_array,DimValues_array)))))</f>
        <v>0</v>
      </c>
      <c r="V40" s="52" cm="1">
        <f t="array" ref="V40">_xlfn.IFS(
V$3="Actual",IF($C40="",0,_xll.BC.TURNOVER(Connection,$C40,,,V$1,V$2,_xlfn.HSTACK(Dim_array,DimValues_array))),
V$3="Budget",IF($C40="",0,IF($G$3=FALSE,0,_xll.BC.BUDGETTURNOVER(Connection,$C40,,,$G$20,V$1,V$2,_xlfn.HSTACK(Dim_array,DimValues_array)))))</f>
        <v>0</v>
      </c>
      <c r="W40" s="52" cm="1">
        <f t="array" ref="W40">_xlfn.IFS(
W$3="Actual",IF($C40="",0,_xll.BC.TURNOVER(Connection,$C40,,,W$1,W$2,_xlfn.HSTACK(Dim_array,DimValues_array))),
W$3="Budget",IF($C40="",0,IF($G$3=FALSE,0,_xll.BC.BUDGETTURNOVER(Connection,$C40,,,$G$20,W$1,W$2,_xlfn.HSTACK(Dim_array,DimValues_array)))))</f>
        <v>0</v>
      </c>
    </row>
    <row r="41" spans="1:23">
      <c r="A41" s="10" cm="1">
        <f t="array" ref="A41">_xlfn.IFS(
 B41="","",
 B41="Assets",1,
 B41="Liabilities",-1,
 B41="Equity",-1,
 B41="Income",-1,
 B41="Cost of Goods Sold",1,
 B41="Expense",1)</f>
        <v>-1</v>
      </c>
      <c r="B41" s="10" t="str" cm="1">
        <f t="array" ref="B41">IF(C41="","",_xlfn.UNIQUE(_xll.BC.ACCOUNTCATEGORY(Connection,_xll.VXTEXTSPLIT(C41,";"))))</f>
        <v>Liabilities</v>
      </c>
      <c r="C41" s="44" t="str" cm="1">
        <f t="array" ref="C41">_xlfn.IFS(
AND(D41="",E41=""),"",
E41&lt;&gt;"",_xlfn.TEXTJOIN(";",TRUE,_xll.BC.EXPANDACCOUNTRANGE(Connection,E41,,,"P")),
D41&lt;&gt;"",_xlfn.TEXTJOIN(";",TRUE,_xll.BC.EXPANDACCOUNTRANGE(Connection,,,D41,"P")))</f>
        <v>5110;5120</v>
      </c>
      <c r="D41" s="20" t="s">
        <v>38</v>
      </c>
      <c r="E41" s="20"/>
      <c r="F41" s="40" t="s">
        <v>59</v>
      </c>
      <c r="G41" s="63" cm="1">
        <f t="array" ref="G41">IF($C41="",0,_xll.BC.TURNOVER(Connection,$C41,,,G$1,G$2,_xlfn.HSTACK(Dim_array,DimValues_array)))</f>
        <v>-39109</v>
      </c>
      <c r="H41" s="63">
        <f t="shared" si="24"/>
        <v>27482</v>
      </c>
      <c r="I41" s="63" cm="1">
        <f t="array" ref="I41">IF($C41="",0,_xll.BC.BUDGETTURNOVER(Connection,$C41,,,$G$20,H$1,H$2,_xlfn.HSTACK(Dim_array,DimValues_array)))</f>
        <v>113521.8</v>
      </c>
      <c r="J41" s="63">
        <f t="shared" si="25"/>
        <v>-86039.8</v>
      </c>
      <c r="K41" s="60"/>
      <c r="L41" s="52" cm="1">
        <f t="array" ref="L41">_xlfn.IFS(
L$3="Actual",IF($C41="",0,_xll.BC.TURNOVER(Connection,$C41,,,L$1,L$2,_xlfn.HSTACK(Dim_array,DimValues_array))),
L$3="Budget",IF($C41="",0,IF($G$3=FALSE,0,_xll.BC.BUDGETTURNOVER(Connection,$C41,,,$G$20,L$1,L$2,_xlfn.HSTACK(Dim_array,DimValues_array)))))</f>
        <v>-5285</v>
      </c>
      <c r="M41" s="52" cm="1">
        <f t="array" ref="M41">_xlfn.IFS(
M$3="Actual",IF($C41="",0,_xll.BC.TURNOVER(Connection,$C41,,,M$1,M$2,_xlfn.HSTACK(Dim_array,DimValues_array))),
M$3="Budget",IF($C41="",0,IF($G$3=FALSE,0,_xll.BC.BUDGETTURNOVER(Connection,$C41,,,$G$20,M$1,M$2,_xlfn.HSTACK(Dim_array,DimValues_array)))))</f>
        <v>-6077.75</v>
      </c>
      <c r="N41" s="52" cm="1">
        <f t="array" ref="N41">_xlfn.IFS(
N$3="Actual",IF($C41="",0,_xll.BC.TURNOVER(Connection,$C41,,,N$1,N$2,_xlfn.HSTACK(Dim_array,DimValues_array))),
N$3="Budget",IF($C41="",0,IF($G$3=FALSE,0,_xll.BC.BUDGETTURNOVER(Connection,$C41,,,$G$20,N$1,N$2,_xlfn.HSTACK(Dim_array,DimValues_array)))))</f>
        <v>-6342</v>
      </c>
      <c r="O41" s="52" cm="1">
        <f t="array" ref="O41">_xlfn.IFS(
O$3="Actual",IF($C41="",0,_xll.BC.TURNOVER(Connection,$C41,,,O$1,O$2,_xlfn.HSTACK(Dim_array,DimValues_array))),
O$3="Budget",IF($C41="",0,IF($G$3=FALSE,0,_xll.BC.BUDGETTURNOVER(Connection,$C41,,,$G$20,O$1,O$2,_xlfn.HSTACK(Dim_array,DimValues_array)))))</f>
        <v>-6606.25</v>
      </c>
      <c r="P41" s="52" cm="1">
        <f t="array" ref="P41">_xlfn.IFS(
P$3="Actual",IF($C41="",0,_xll.BC.TURNOVER(Connection,$C41,,,P$1,P$2,_xlfn.HSTACK(Dim_array,DimValues_array))),
P$3="Budget",IF($C41="",0,IF($G$3=FALSE,0,_xll.BC.BUDGETTURNOVER(Connection,$C41,,,$G$20,P$1,P$2,_xlfn.HSTACK(Dim_array,DimValues_array)))))</f>
        <v>-6870.5</v>
      </c>
      <c r="Q41" s="52" cm="1">
        <f t="array" ref="Q41">_xlfn.IFS(
Q$3="Actual",IF($C41="",0,_xll.BC.TURNOVER(Connection,$C41,,,Q$1,Q$2,_xlfn.HSTACK(Dim_array,DimValues_array))),
Q$3="Budget",IF($C41="",0,IF($G$3=FALSE,0,_xll.BC.BUDGETTURNOVER(Connection,$C41,,,$G$20,Q$1,Q$2,_xlfn.HSTACK(Dim_array,DimValues_array)))))</f>
        <v>-7927.5</v>
      </c>
      <c r="R41" s="52" cm="1">
        <f t="array" ref="R41">_xlfn.IFS(
R$3="Actual",IF($C41="",0,_xll.BC.TURNOVER(Connection,$C41,,,R$1,R$2,_xlfn.HSTACK(Dim_array,DimValues_array))),
R$3="Budget",IF($C41="",0,IF($G$3=FALSE,0,_xll.BC.BUDGETTURNOVER(Connection,$C41,,,$G$20,R$1,R$2,_xlfn.HSTACK(Dim_array,DimValues_array)))))</f>
        <v>9830.1</v>
      </c>
      <c r="S41" s="52" cm="1">
        <f t="array" ref="S41">_xlfn.IFS(
S$3="Actual",IF($C41="",0,_xll.BC.TURNOVER(Connection,$C41,,,S$1,S$2,_xlfn.HSTACK(Dim_array,DimValues_array))),
S$3="Budget",IF($C41="",0,IF($G$3=FALSE,0,_xll.BC.BUDGETTURNOVER(Connection,$C41,,,$G$20,S$1,S$2,_xlfn.HSTACK(Dim_array,DimValues_array)))))</f>
        <v>10147.200000000001</v>
      </c>
      <c r="T41" s="52" cm="1">
        <f t="array" ref="T41">_xlfn.IFS(
T$3="Actual",IF($C41="",0,_xll.BC.TURNOVER(Connection,$C41,,,T$1,T$2,_xlfn.HSTACK(Dim_array,DimValues_array))),
T$3="Budget",IF($C41="",0,IF($G$3=FALSE,0,_xll.BC.BUDGETTURNOVER(Connection,$C41,,,$G$20,T$1,T$2,_xlfn.HSTACK(Dim_array,DimValues_array)))))</f>
        <v>10781.4</v>
      </c>
      <c r="U41" s="52" cm="1">
        <f t="array" ref="U41">_xlfn.IFS(
U$3="Actual",IF($C41="",0,_xll.BC.TURNOVER(Connection,$C41,,,U$1,U$2,_xlfn.HSTACK(Dim_array,DimValues_array))),
U$3="Budget",IF($C41="",0,IF($G$3=FALSE,0,_xll.BC.BUDGETTURNOVER(Connection,$C41,,,$G$20,U$1,U$2,_xlfn.HSTACK(Dim_array,DimValues_array)))))</f>
        <v>11415.6</v>
      </c>
      <c r="V41" s="52" cm="1">
        <f t="array" ref="V41">_xlfn.IFS(
V$3="Actual",IF($C41="",0,_xll.BC.TURNOVER(Connection,$C41,,,V$1,V$2,_xlfn.HSTACK(Dim_array,DimValues_array))),
V$3="Budget",IF($C41="",0,IF($G$3=FALSE,0,_xll.BC.BUDGETTURNOVER(Connection,$C41,,,$G$20,V$1,V$2,_xlfn.HSTACK(Dim_array,DimValues_array)))))</f>
        <v>12049.8</v>
      </c>
      <c r="W41" s="52" cm="1">
        <f t="array" ref="W41">_xlfn.IFS(
W$3="Actual",IF($C41="",0,_xll.BC.TURNOVER(Connection,$C41,,,W$1,W$2,_xlfn.HSTACK(Dim_array,DimValues_array))),
W$3="Budget",IF($C41="",0,IF($G$3=FALSE,0,_xll.BC.BUDGETTURNOVER(Connection,$C41,,,$G$20,W$1,W$2,_xlfn.HSTACK(Dim_array,DimValues_array)))))</f>
        <v>12366.9</v>
      </c>
    </row>
    <row r="42" spans="1:23" s="19" customFormat="1">
      <c r="A42" s="10" t="str" cm="1">
        <f t="array" ref="A42">_xlfn.IFS(
 B42="","",
 B42="Assets",1,
 B42="Liabilities",-1,
 B42="Equity",-1,
 B42="Income",-1,
 B42="Cost of Goods Sold",1,
 B42="Expense",1)</f>
        <v/>
      </c>
      <c r="B42" s="10" t="str" cm="1">
        <f t="array" ref="B42">IF(C42="","",_xlfn.UNIQUE(_xll.BC.ACCOUNTCATEGORY(Connection,_xll.VXTEXTSPLIT(C42,";"))))</f>
        <v/>
      </c>
      <c r="C42" s="44"/>
      <c r="D42" s="33"/>
      <c r="E42" s="33"/>
      <c r="F42" s="53" t="s">
        <v>7</v>
      </c>
      <c r="G42" s="65">
        <f>SUM(G39:G41)</f>
        <v>-47981.599999999999</v>
      </c>
      <c r="H42" s="65">
        <f t="shared" ref="H42:I42" si="26">SUM(H39:H41)</f>
        <v>33716.800000000003</v>
      </c>
      <c r="I42" s="65">
        <f t="shared" si="26"/>
        <v>139276.32</v>
      </c>
      <c r="J42" s="65">
        <f t="shared" si="25"/>
        <v>-105559.52</v>
      </c>
      <c r="K42" s="60"/>
      <c r="L42" s="65">
        <f t="shared" ref="L42" si="27">SUM(L39:L41)</f>
        <v>-6484</v>
      </c>
      <c r="M42" s="65">
        <f t="shared" ref="M42" si="28">SUM(M39:M41)</f>
        <v>-7456.6</v>
      </c>
      <c r="N42" s="65">
        <f t="shared" ref="N42" si="29">SUM(N39:N41)</f>
        <v>-7780.8</v>
      </c>
      <c r="O42" s="65">
        <f t="shared" ref="O42" si="30">SUM(O39:O41)</f>
        <v>-8105</v>
      </c>
      <c r="P42" s="65">
        <f t="shared" ref="P42" si="31">SUM(P39:P41)</f>
        <v>-8429.2000000000007</v>
      </c>
      <c r="Q42" s="65">
        <f t="shared" ref="Q42" si="32">SUM(Q39:Q41)</f>
        <v>-9726</v>
      </c>
      <c r="R42" s="65">
        <f t="shared" ref="R42" si="33">SUM(R39:R41)</f>
        <v>12060.24</v>
      </c>
      <c r="S42" s="65">
        <f t="shared" ref="S42" si="34">SUM(S39:S41)</f>
        <v>12449.28</v>
      </c>
      <c r="T42" s="65">
        <f t="shared" ref="T42" si="35">SUM(T39:T41)</f>
        <v>13227.36</v>
      </c>
      <c r="U42" s="65">
        <f t="shared" ref="U42" si="36">SUM(U39:U41)</f>
        <v>14005.44</v>
      </c>
      <c r="V42" s="65">
        <f t="shared" ref="V42" si="37">SUM(V39:V41)</f>
        <v>14783.519999999999</v>
      </c>
      <c r="W42" s="65">
        <f t="shared" ref="W42" si="38">SUM(W39:W41)</f>
        <v>15172.56</v>
      </c>
    </row>
    <row r="43" spans="1:23">
      <c r="A43" s="10" t="str" cm="1">
        <f t="array" ref="A43">_xlfn.IFS(
 B43="","",
 B43="Assets",1,
 B43="Liabilities",-1,
 B43="Equity",-1,
 B43="Income",-1,
 B43="Cost of Goods Sold",1,
 B43="Expense",1)</f>
        <v/>
      </c>
      <c r="B43" s="10" t="str" cm="1">
        <f t="array" ref="B43">IF(C43="","",_xlfn.UNIQUE(_xll.BC.ACCOUNTCATEGORY(Connection,_xll.VXTEXTSPLIT(C43,";"))))</f>
        <v/>
      </c>
      <c r="C43" s="44"/>
      <c r="D43" s="33"/>
      <c r="E43" s="33"/>
      <c r="F43" s="29"/>
      <c r="G43" s="66"/>
      <c r="H43" s="67"/>
      <c r="I43" s="67"/>
      <c r="J43" s="67"/>
      <c r="K43" s="60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>
      <c r="A44" s="10" t="str" cm="1">
        <f t="array" ref="A44">_xlfn.IFS(
 B44="","",
 B44="Assets",1,
 B44="Liabilities",-1,
 B44="Equity",-1,
 B44="Income",-1,
 B44="Cost of Goods Sold",1,
 B44="Expense",1)</f>
        <v/>
      </c>
      <c r="B44" s="10" t="str" cm="1">
        <f t="array" ref="B44">IF(C44="","",_xlfn.UNIQUE(_xll.BC.ACCOUNTCATEGORY(Connection,_xll.VXTEXTSPLIT(C44,";"))))</f>
        <v/>
      </c>
      <c r="C44" s="44" t="str" cm="1">
        <f t="array" ref="C44">_xlfn.IFS(
AND(D44="",E44=""),"",
E44&lt;&gt;"",_xlfn.TEXTJOIN(";",TRUE,_xll.BC.EXPANDACCOUNTRANGE(Connection,E44,,,"P")),
D44&lt;&gt;"",_xlfn.TEXTJOIN(";",TRUE,_xll.BC.EXPANDACCOUNTRANGE(Connection,,,D44,"P")))</f>
        <v/>
      </c>
      <c r="D44" s="20"/>
      <c r="E44" s="20"/>
      <c r="F44" s="29" t="s">
        <v>60</v>
      </c>
      <c r="G44" s="63" cm="1">
        <f t="array" ref="G44">IF($C44="",0,_xll.BC.TURNOVER(Connection,$C44,,,G$1,G$2,_xlfn.HSTACK(Dim_array,DimValues_array)))</f>
        <v>0</v>
      </c>
      <c r="H44" s="63">
        <f>SUM(L44:W44)</f>
        <v>0</v>
      </c>
      <c r="I44" s="63" cm="1">
        <f t="array" ref="I44">IF($C44="",0,_xll.BC.BUDGETTURNOVER(Connection,$C44,,,$G$20,H$1,H$2,_xlfn.HSTACK(Dim_array,DimValues_array)))</f>
        <v>0</v>
      </c>
      <c r="J44" s="63"/>
      <c r="K44" s="60"/>
      <c r="L44" s="52" cm="1">
        <f t="array" ref="L44">_xlfn.IFS(
L$3="Actual",IF($C44="",0,_xll.BC.TURNOVER(Connection,$C44,,,L$1,L$2,_xlfn.HSTACK(Dim_array,DimValues_array))),
L$3="Budget",IF($C44="",0,IF($G$3=FALSE,0,_xll.BC.BUDGETTURNOVER(Connection,$C44,,,$G$20,L$1,L$2,_xlfn.HSTACK(Dim_array,DimValues_array)))))</f>
        <v>0</v>
      </c>
      <c r="M44" s="52" cm="1">
        <f t="array" ref="M44">_xlfn.IFS(
M$3="Actual",IF($C44="",0,_xll.BC.TURNOVER(Connection,$C44,,,M$1,M$2,_xlfn.HSTACK(Dim_array,DimValues_array))),
M$3="Budget",IF($C44="",0,IF($G$3=FALSE,0,_xll.BC.BUDGETTURNOVER(Connection,$C44,,,$G$20,M$1,M$2,_xlfn.HSTACK(Dim_array,DimValues_array)))))</f>
        <v>0</v>
      </c>
      <c r="N44" s="52" cm="1">
        <f t="array" ref="N44">_xlfn.IFS(
N$3="Actual",IF($C44="",0,_xll.BC.TURNOVER(Connection,$C44,,,N$1,N$2,_xlfn.HSTACK(Dim_array,DimValues_array))),
N$3="Budget",IF($C44="",0,IF($G$3=FALSE,0,_xll.BC.BUDGETTURNOVER(Connection,$C44,,,$G$20,N$1,N$2,_xlfn.HSTACK(Dim_array,DimValues_array)))))</f>
        <v>0</v>
      </c>
      <c r="O44" s="52" cm="1">
        <f t="array" ref="O44">_xlfn.IFS(
O$3="Actual",IF($C44="",0,_xll.BC.TURNOVER(Connection,$C44,,,O$1,O$2,_xlfn.HSTACK(Dim_array,DimValues_array))),
O$3="Budget",IF($C44="",0,IF($G$3=FALSE,0,_xll.BC.BUDGETTURNOVER(Connection,$C44,,,$G$20,O$1,O$2,_xlfn.HSTACK(Dim_array,DimValues_array)))))</f>
        <v>0</v>
      </c>
      <c r="P44" s="52" cm="1">
        <f t="array" ref="P44">_xlfn.IFS(
P$3="Actual",IF($C44="",0,_xll.BC.TURNOVER(Connection,$C44,,,P$1,P$2,_xlfn.HSTACK(Dim_array,DimValues_array))),
P$3="Budget",IF($C44="",0,IF($G$3=FALSE,0,_xll.BC.BUDGETTURNOVER(Connection,$C44,,,$G$20,P$1,P$2,_xlfn.HSTACK(Dim_array,DimValues_array)))))</f>
        <v>0</v>
      </c>
      <c r="Q44" s="52" cm="1">
        <f t="array" ref="Q44">_xlfn.IFS(
Q$3="Actual",IF($C44="",0,_xll.BC.TURNOVER(Connection,$C44,,,Q$1,Q$2,_xlfn.HSTACK(Dim_array,DimValues_array))),
Q$3="Budget",IF($C44="",0,IF($G$3=FALSE,0,_xll.BC.BUDGETTURNOVER(Connection,$C44,,,$G$20,Q$1,Q$2,_xlfn.HSTACK(Dim_array,DimValues_array)))))</f>
        <v>0</v>
      </c>
      <c r="R44" s="52" cm="1">
        <f t="array" ref="R44">_xlfn.IFS(
R$3="Actual",IF($C44="",0,_xll.BC.TURNOVER(Connection,$C44,,,R$1,R$2,_xlfn.HSTACK(Dim_array,DimValues_array))),
R$3="Budget",IF($C44="",0,IF($G$3=FALSE,0,_xll.BC.BUDGETTURNOVER(Connection,$C44,,,$G$20,R$1,R$2,_xlfn.HSTACK(Dim_array,DimValues_array)))))</f>
        <v>0</v>
      </c>
      <c r="S44" s="52" cm="1">
        <f t="array" ref="S44">_xlfn.IFS(
S$3="Actual",IF($C44="",0,_xll.BC.TURNOVER(Connection,$C44,,,S$1,S$2,_xlfn.HSTACK(Dim_array,DimValues_array))),
S$3="Budget",IF($C44="",0,IF($G$3=FALSE,0,_xll.BC.BUDGETTURNOVER(Connection,$C44,,,$G$20,S$1,S$2,_xlfn.HSTACK(Dim_array,DimValues_array)))))</f>
        <v>0</v>
      </c>
      <c r="T44" s="52" cm="1">
        <f t="array" ref="T44">_xlfn.IFS(
T$3="Actual",IF($C44="",0,_xll.BC.TURNOVER(Connection,$C44,,,T$1,T$2,_xlfn.HSTACK(Dim_array,DimValues_array))),
T$3="Budget",IF($C44="",0,IF($G$3=FALSE,0,_xll.BC.BUDGETTURNOVER(Connection,$C44,,,$G$20,T$1,T$2,_xlfn.HSTACK(Dim_array,DimValues_array)))))</f>
        <v>0</v>
      </c>
      <c r="U44" s="52" cm="1">
        <f t="array" ref="U44">_xlfn.IFS(
U$3="Actual",IF($C44="",0,_xll.BC.TURNOVER(Connection,$C44,,,U$1,U$2,_xlfn.HSTACK(Dim_array,DimValues_array))),
U$3="Budget",IF($C44="",0,IF($G$3=FALSE,0,_xll.BC.BUDGETTURNOVER(Connection,$C44,,,$G$20,U$1,U$2,_xlfn.HSTACK(Dim_array,DimValues_array)))))</f>
        <v>0</v>
      </c>
      <c r="V44" s="52" cm="1">
        <f t="array" ref="V44">_xlfn.IFS(
V$3="Actual",IF($C44="",0,_xll.BC.TURNOVER(Connection,$C44,,,V$1,V$2,_xlfn.HSTACK(Dim_array,DimValues_array))),
V$3="Budget",IF($C44="",0,IF($G$3=FALSE,0,_xll.BC.BUDGETTURNOVER(Connection,$C44,,,$G$20,V$1,V$2,_xlfn.HSTACK(Dim_array,DimValues_array)))))</f>
        <v>0</v>
      </c>
      <c r="W44" s="52" cm="1">
        <f t="array" ref="W44">_xlfn.IFS(
W$3="Actual",IF($C44="",0,_xll.BC.TURNOVER(Connection,$C44,,,W$1,W$2,_xlfn.HSTACK(Dim_array,DimValues_array))),
W$3="Budget",IF($C44="",0,IF($G$3=FALSE,0,_xll.BC.BUDGETTURNOVER(Connection,$C44,,,$G$20,W$1,W$2,_xlfn.HSTACK(Dim_array,DimValues_array)))))</f>
        <v>0</v>
      </c>
    </row>
    <row r="45" spans="1:23" s="19" customFormat="1">
      <c r="A45" s="10" t="str" cm="1">
        <f t="array" ref="A45">_xlfn.IFS(
 B45="","",
 B45="Assets",1,
 B45="Liabilities",-1,
 B45="Equity",-1,
 B45="Income",-1,
 B45="Cost of Goods Sold",1,
 B45="Expense",1)</f>
        <v/>
      </c>
      <c r="B45" s="10" t="str" cm="1">
        <f t="array" ref="B45">IF(C45="","",_xlfn.UNIQUE(_xll.BC.ACCOUNTCATEGORY(Connection,_xll.VXTEXTSPLIT(C45,";"))))</f>
        <v/>
      </c>
      <c r="C45" s="44"/>
      <c r="D45" s="33"/>
      <c r="E45" s="33"/>
      <c r="F45" s="53" t="s">
        <v>8</v>
      </c>
      <c r="G45" s="65">
        <f>G44-SUM(G32,G37,G42)</f>
        <v>-71833.13</v>
      </c>
      <c r="H45" s="65">
        <f t="shared" ref="H45:I45" si="39">H44-SUM(H32,H37,H42)</f>
        <v>9332101.4299999997</v>
      </c>
      <c r="I45" s="65">
        <f t="shared" si="39"/>
        <v>16057201.860000001</v>
      </c>
      <c r="J45" s="65">
        <f>IF(H45="","",IFERROR(H45-I45,""))</f>
        <v>-6725100.4300000016</v>
      </c>
      <c r="K45" s="60"/>
      <c r="L45" s="65">
        <f t="shared" ref="L45:W45" si="40">L44-SUM(L32,L37,L42)</f>
        <v>-16610.830000000002</v>
      </c>
      <c r="M45" s="65">
        <f t="shared" si="40"/>
        <v>-23599.180000000008</v>
      </c>
      <c r="N45" s="65">
        <f t="shared" si="40"/>
        <v>14145.930000000011</v>
      </c>
      <c r="O45" s="65">
        <f t="shared" si="40"/>
        <v>-14126.25</v>
      </c>
      <c r="P45" s="65">
        <f t="shared" si="40"/>
        <v>-14691.3</v>
      </c>
      <c r="Q45" s="65">
        <f t="shared" si="40"/>
        <v>-16951.499999999993</v>
      </c>
      <c r="R45" s="65">
        <f t="shared" si="40"/>
        <v>1388199.8599999999</v>
      </c>
      <c r="S45" s="65">
        <f t="shared" si="40"/>
        <v>1432980.5199999998</v>
      </c>
      <c r="T45" s="65">
        <f t="shared" si="40"/>
        <v>1522541.7799999998</v>
      </c>
      <c r="U45" s="65">
        <f t="shared" si="40"/>
        <v>1612103.07</v>
      </c>
      <c r="V45" s="65">
        <f t="shared" si="40"/>
        <v>1701664.34</v>
      </c>
      <c r="W45" s="65">
        <f t="shared" si="40"/>
        <v>1746444.9900000002</v>
      </c>
    </row>
    <row r="46" spans="1:23">
      <c r="A46" s="10" t="str" cm="1">
        <f t="array" ref="A46">_xlfn.IFS(
 B46="","",
 B46="Assets",1,
 B46="Liabilities",-1,
 B46="Equity",-1,
 B46="Income",-1,
 B46="Cost of Goods Sold",1,
 B46="Expense",1)</f>
        <v/>
      </c>
      <c r="B46" s="10" t="str" cm="1">
        <f t="array" ref="B46">IF(C46="","",_xlfn.UNIQUE(_xll.BC.ACCOUNTCATEGORY(Connection,_xll.VXTEXTSPLIT(C46,";"))))</f>
        <v/>
      </c>
      <c r="C46" s="44"/>
      <c r="D46" s="33"/>
      <c r="E46" s="33"/>
      <c r="F46" s="31"/>
      <c r="G46" s="66"/>
      <c r="H46" s="67"/>
      <c r="I46" s="67"/>
      <c r="J46" s="67"/>
      <c r="K46" s="60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1:23">
      <c r="A47" s="10" cm="1">
        <f t="array" ref="A47">_xlfn.IFS(
 B47="","",
 B47="Assets",1,
 B47="Liabilities",-1,
 B47="Equity",-1,
 B47="Income",-1,
 B47="Cost of Goods Sold",1,
 B47="Expense",1)</f>
        <v>1</v>
      </c>
      <c r="B47" s="10" t="str" cm="1">
        <f t="array" ref="B47">IF(C47="","",_xlfn.UNIQUE(_xll.BC.ACCOUNTCATEGORY(Connection,_xll.VXTEXTSPLIT(C47,";"))))</f>
        <v>Assets</v>
      </c>
      <c r="C47" s="44" t="str" cm="1">
        <f t="array" ref="C47">_xlfn.IFS(
AND(D47="",E47=""),"",
E47&lt;&gt;"",_xlfn.TEXTJOIN(";",TRUE,_xll.BC.EXPANDACCOUNTRANGE(Connection,E47,,,"P")),
D47&lt;&gt;"",_xlfn.TEXTJOIN(";",TRUE,_xll.BC.EXPANDACCOUNTRANGE(Connection,,,D47,"P")))</f>
        <v>2910;2920;2930;2940</v>
      </c>
      <c r="D47" s="20" t="s">
        <v>14</v>
      </c>
      <c r="E47" s="20"/>
      <c r="F47" s="53" t="s">
        <v>9</v>
      </c>
      <c r="G47" s="64" cm="1">
        <f t="array" ref="G47">IF($C47="",0,_xll.BC.OPENINGBALANCE(Connection,$C47,,,G$1,_xlfn.HSTACK(Dim_array,DimValues_array)))</f>
        <v>38408.86</v>
      </c>
      <c r="H47" s="64" cm="1">
        <f t="array" ref="H47">IF($C47="",0,_xll.BC.OPENINGBALANCE(Connection,$C47,,,H$1,_xlfn.HSTACK(Dim_array,DimValues_array)))</f>
        <v>38408.86</v>
      </c>
      <c r="I47" s="64" cm="1">
        <f t="array" ref="I47">IF($C47="",0,_xll.BC.BUDGETTURNOVER(Connection,$C47,,,$G$20,H$1,H$2,_xlfn.HSTACK(Dim_array,DimValues_array)))</f>
        <v>0</v>
      </c>
      <c r="J47" s="64">
        <f t="shared" ref="J47:J48" si="41">IF(H47="","",IFERROR(H47-I47,""))</f>
        <v>38408.86</v>
      </c>
      <c r="K47" s="60"/>
      <c r="L47" s="71" cm="1">
        <f t="array" ref="L47">_xlfn.IFS(
L$3="Actual",IF($C47="",0,_xll.BC.OPENINGBALANCE(Connection,$C47,,,L$1,_xlfn.HSTACK(Dim_array,DimValues_array))),
L$3="Budget",IF($C47="",0,IF($G$3=FALSE,0,_xll.BC.BUDGETTURNOVER(Connection,$C47,,,$G$20,L$1,L$2,_xlfn.HSTACK(Dim_array,DimValues_array)))))</f>
        <v>38408.86</v>
      </c>
      <c r="M47" s="72" cm="1">
        <f t="array" ref="M47">_xlfn.IFS(
M$3="Actual",IF($C47="",0,_xll.BC.OPENINGBALANCE(Connection,$C47,,,M$1,_xlfn.HSTACK(Dim_array,DimValues_array))),
M$3="Budget",IF($C47="",0,IF($G$3=FALSE,0,_xll.BC.BUDGETTURNOVER(Connection,$C47,,,$G$20,M$1,M$2,_xlfn.HSTACK(Dim_array,DimValues_array)))))</f>
        <v>38188.03</v>
      </c>
      <c r="N47" s="72" cm="1">
        <f t="array" ref="N47">_xlfn.IFS(
N$3="Actual",IF($C47="",0,_xll.BC.OPENINGBALANCE(Connection,$C47,,,N$1,_xlfn.HSTACK(Dim_array,DimValues_array))),
N$3="Budget",IF($C47="",0,IF($G$3=FALSE,0,_xll.BC.BUDGETTURNOVER(Connection,$C47,,,$G$20,N$1,N$2,_xlfn.HSTACK(Dim_array,DimValues_array)))))</f>
        <v>33437.35</v>
      </c>
      <c r="O47" s="72" cm="1">
        <f t="array" ref="O47">_xlfn.IFS(
O$3="Actual",IF($C47="",0,_xll.BC.OPENINGBALANCE(Connection,$C47,,,O$1,_xlfn.HSTACK(Dim_array,DimValues_array))),
O$3="Budget",IF($C47="",0,IF($G$3=FALSE,0,_xll.BC.BUDGETTURNOVER(Connection,$C47,,,$G$20,O$1,O$2,_xlfn.HSTACK(Dim_array,DimValues_array)))))</f>
        <v>67251.28</v>
      </c>
      <c r="P47" s="72" cm="1">
        <f t="array" ref="P47">_xlfn.IFS(
P$3="Actual",IF($C47="",0,_xll.BC.OPENINGBALANCE(Connection,$C47,,,P$1,_xlfn.HSTACK(Dim_array,DimValues_array))),
P$3="Budget",IF($C47="",0,IF($G$3=FALSE,0,_xll.BC.BUDGETTURNOVER(Connection,$C47,,,$G$20,P$1,P$2,_xlfn.HSTACK(Dim_array,DimValues_array)))))</f>
        <v>73612.53</v>
      </c>
      <c r="Q47" s="72" cm="1">
        <f t="array" ref="Q47">_xlfn.IFS(
Q$3="Actual",IF($C47="",0,_xll.BC.OPENINGBALANCE(Connection,$C47,,,Q$1,_xlfn.HSTACK(Dim_array,DimValues_array))),
Q$3="Budget",IF($C47="",0,IF($G$3=FALSE,0,_xll.BC.BUDGETTURNOVER(Connection,$C47,,,$G$20,Q$1,Q$2,_xlfn.HSTACK(Dim_array,DimValues_array)))))</f>
        <v>80228.23</v>
      </c>
      <c r="R47" s="72" cm="1">
        <f t="array" ref="R47">_xlfn.IFS(
R$3="Actual",IF($C47="",0,_xll.BC.OPENINGBALANCE(Connection,$C47,,,R$1,_xlfn.HSTACK(Dim_array,DimValues_array))),
R$3="Budget",IF($C47="",0,IF($G$3=FALSE,0,_xll.BC.BUDGETTURNOVER(Connection,$C47,,,$G$20,R$1,R$2,_xlfn.HSTACK(Dim_array,DimValues_array)))))</f>
        <v>0</v>
      </c>
      <c r="S47" s="72" cm="1">
        <f t="array" ref="S47">_xlfn.IFS(
S$3="Actual",IF($C47="",0,_xll.BC.OPENINGBALANCE(Connection,$C47,,,S$1,_xlfn.HSTACK(Dim_array,DimValues_array))),
S$3="Budget",IF($C47="",0,IF($G$3=FALSE,0,_xll.BC.BUDGETTURNOVER(Connection,$C47,,,$G$20,S$1,S$2,_xlfn.HSTACK(Dim_array,DimValues_array)))))</f>
        <v>0</v>
      </c>
      <c r="T47" s="72" cm="1">
        <f t="array" ref="T47">_xlfn.IFS(
T$3="Actual",IF($C47="",0,_xll.BC.OPENINGBALANCE(Connection,$C47,,,T$1,_xlfn.HSTACK(Dim_array,DimValues_array))),
T$3="Budget",IF($C47="",0,IF($G$3=FALSE,0,_xll.BC.BUDGETTURNOVER(Connection,$C47,,,$G$20,T$1,T$2,_xlfn.HSTACK(Dim_array,DimValues_array)))))</f>
        <v>0</v>
      </c>
      <c r="U47" s="72" cm="1">
        <f t="array" ref="U47">_xlfn.IFS(
U$3="Actual",IF($C47="",0,_xll.BC.OPENINGBALANCE(Connection,$C47,,,U$1,_xlfn.HSTACK(Dim_array,DimValues_array))),
U$3="Budget",IF($C47="",0,IF($G$3=FALSE,0,_xll.BC.BUDGETTURNOVER(Connection,$C47,,,$G$20,U$1,U$2,_xlfn.HSTACK(Dim_array,DimValues_array)))))</f>
        <v>0</v>
      </c>
      <c r="V47" s="72" cm="1">
        <f t="array" ref="V47">_xlfn.IFS(
V$3="Actual",IF($C47="",0,_xll.BC.OPENINGBALANCE(Connection,$C47,,,V$1,_xlfn.HSTACK(Dim_array,DimValues_array))),
V$3="Budget",IF($C47="",0,IF($G$3=FALSE,0,_xll.BC.BUDGETTURNOVER(Connection,$C47,,,$G$20,V$1,V$2,_xlfn.HSTACK(Dim_array,DimValues_array)))))</f>
        <v>0</v>
      </c>
      <c r="W47" s="72" cm="1">
        <f t="array" ref="W47">_xlfn.IFS(
W$3="Actual",IF($C47="",0,_xll.BC.OPENINGBALANCE(Connection,$C47,,,W$1,_xlfn.HSTACK(Dim_array,DimValues_array))),
W$3="Budget",IF($C47="",0,IF($G$3=FALSE,0,_xll.BC.BUDGETTURNOVER(Connection,$C47,,,$G$20,W$1,W$2,_xlfn.HSTACK(Dim_array,DimValues_array)))))</f>
        <v>0</v>
      </c>
    </row>
    <row r="48" spans="1:23" s="19" customFormat="1" ht="14.65" thickBot="1">
      <c r="A48" s="10" cm="1">
        <f t="array" ref="A48">_xlfn.IFS(
 B48="","",
 B48="Assets",1,
 B48="Liabilities",-1,
 B48="Equity",-1,
 B48="Income",-1,
 B48="Cost of Goods Sold",1,
 B48="Expense",1)</f>
        <v>1</v>
      </c>
      <c r="B48" s="10" t="str" cm="1">
        <f t="array" ref="B48">IF(C48="","",_xlfn.UNIQUE(_xll.BC.ACCOUNTCATEGORY(Connection,_xll.VXTEXTSPLIT(C48,";"))))</f>
        <v>Assets</v>
      </c>
      <c r="C48" s="44" t="str" cm="1">
        <f t="array" ref="C48">_xlfn.IFS(
AND(D48="",E48=""),"",
E48&lt;&gt;"",_xlfn.TEXTJOIN(";",TRUE,_xll.BC.EXPANDACCOUNTRANGE(Connection,E48,,,"P")),
D48&lt;&gt;"",_xlfn.TEXTJOIN(";",TRUE,_xll.BC.EXPANDACCOUNTRANGE(Connection,,,D48,"P")))</f>
        <v>2910;2920;2930;2940</v>
      </c>
      <c r="D48" s="20" t="s">
        <v>14</v>
      </c>
      <c r="E48" s="20"/>
      <c r="F48" s="54" t="s">
        <v>10</v>
      </c>
      <c r="G48" s="68">
        <f>SUM(G45,G47)</f>
        <v>-33424.270000000004</v>
      </c>
      <c r="H48" s="68">
        <f t="shared" ref="H48:I48" si="42">SUM(H45,H47)</f>
        <v>9370510.2899999991</v>
      </c>
      <c r="I48" s="68">
        <f t="shared" si="42"/>
        <v>16057201.860000001</v>
      </c>
      <c r="J48" s="68">
        <f t="shared" si="41"/>
        <v>-6686691.5700000022</v>
      </c>
      <c r="K48" s="60"/>
      <c r="L48" s="69" cm="1">
        <f t="array" ref="L48">_xlfn.IFS(
L$3="Actual",IF($C48="",0,_xll.BC.CLOSINGBALANCE(Connection,$C48,,,L$2,_xlfn.HSTACK(Dim_array,DimValues_array))),
L$3="Budget",IF($C48="",0,IF($G$3=FALSE,0,_xll.BC.BUDGETTURNOVER(Connection,$C48,,,$G$20,L$1,L$2,_xlfn.HSTACK(Dim_array,DimValues_array)))))</f>
        <v>38188.03</v>
      </c>
      <c r="M48" s="70" cm="1">
        <f t="array" ref="M48">_xlfn.IFS(
M$3="Actual",IF($C48="",0,_xll.BC.CLOSINGBALANCE(Connection,$C48,,,M$2,_xlfn.HSTACK(Dim_array,DimValues_array))),
M$3="Budget",IF($C48="",0,IF($G$3=FALSE,0,_xll.BC.BUDGETTURNOVER(Connection,$C48,,,$G$20,M$1,M$2,_xlfn.HSTACK(Dim_array,DimValues_array)))))</f>
        <v>33437.35</v>
      </c>
      <c r="N48" s="70" cm="1">
        <f t="array" ref="N48">_xlfn.IFS(
N$3="Actual",IF($C48="",0,_xll.BC.CLOSINGBALANCE(Connection,$C48,,,N$2,_xlfn.HSTACK(Dim_array,DimValues_array))),
N$3="Budget",IF($C48="",0,IF($G$3=FALSE,0,_xll.BC.BUDGETTURNOVER(Connection,$C48,,,$G$20,N$1,N$2,_xlfn.HSTACK(Dim_array,DimValues_array)))))</f>
        <v>67251.28</v>
      </c>
      <c r="O48" s="70" cm="1">
        <f t="array" ref="O48">_xlfn.IFS(
O$3="Actual",IF($C48="",0,_xll.BC.CLOSINGBALANCE(Connection,$C48,,,O$2,_xlfn.HSTACK(Dim_array,DimValues_array))),
O$3="Budget",IF($C48="",0,IF($G$3=FALSE,0,_xll.BC.BUDGETTURNOVER(Connection,$C48,,,$G$20,O$1,O$2,_xlfn.HSTACK(Dim_array,DimValues_array)))))</f>
        <v>73612.53</v>
      </c>
      <c r="P48" s="70" cm="1">
        <f t="array" ref="P48">_xlfn.IFS(
P$3="Actual",IF($C48="",0,_xll.BC.CLOSINGBALANCE(Connection,$C48,,,P$2,_xlfn.HSTACK(Dim_array,DimValues_array))),
P$3="Budget",IF($C48="",0,IF($G$3=FALSE,0,_xll.BC.BUDGETTURNOVER(Connection,$C48,,,$G$20,P$1,P$2,_xlfn.HSTACK(Dim_array,DimValues_array)))))</f>
        <v>80228.23</v>
      </c>
      <c r="Q48" s="70" cm="1">
        <f t="array" ref="Q48">_xlfn.IFS(
Q$3="Actual",IF($C48="",0,_xll.BC.CLOSINGBALANCE(Connection,$C48,,,Q$2,_xlfn.HSTACK(Dim_array,DimValues_array))),
Q$3="Budget",IF($C48="",0,IF($G$3=FALSE,0,_xll.BC.BUDGETTURNOVER(Connection,$C48,,,$G$20,Q$1,Q$2,_xlfn.HSTACK(Dim_array,DimValues_array)))))</f>
        <v>87861.73</v>
      </c>
      <c r="R48" s="70" cm="1">
        <f t="array" ref="R48">_xlfn.IFS(
R$3="Actual",IF($C48="",0,_xll.BC.CLOSINGBALANCE(Connection,$C48,,,R$2,_xlfn.HSTACK(Dim_array,DimValues_array))),
R$3="Budget",IF($C48="",0,IF($G$3=FALSE,0,_xll.BC.BUDGETTURNOVER(Connection,$C48,,,$G$20,R$1,R$2,_xlfn.HSTACK(Dim_array,DimValues_array)))))</f>
        <v>0</v>
      </c>
      <c r="S48" s="70" cm="1">
        <f t="array" ref="S48">_xlfn.IFS(
S$3="Actual",IF($C48="",0,_xll.BC.CLOSINGBALANCE(Connection,$C48,,,S$2,_xlfn.HSTACK(Dim_array,DimValues_array))),
S$3="Budget",IF($C48="",0,IF($G$3=FALSE,0,_xll.BC.BUDGETTURNOVER(Connection,$C48,,,$G$20,S$1,S$2,_xlfn.HSTACK(Dim_array,DimValues_array)))))</f>
        <v>0</v>
      </c>
      <c r="T48" s="70" cm="1">
        <f t="array" ref="T48">_xlfn.IFS(
T$3="Actual",IF($C48="",0,_xll.BC.CLOSINGBALANCE(Connection,$C48,,,T$2,_xlfn.HSTACK(Dim_array,DimValues_array))),
T$3="Budget",IF($C48="",0,IF($G$3=FALSE,0,_xll.BC.BUDGETTURNOVER(Connection,$C48,,,$G$20,T$1,T$2,_xlfn.HSTACK(Dim_array,DimValues_array)))))</f>
        <v>0</v>
      </c>
      <c r="U48" s="70" cm="1">
        <f t="array" ref="U48">_xlfn.IFS(
U$3="Actual",IF($C48="",0,_xll.BC.CLOSINGBALANCE(Connection,$C48,,,U$2,_xlfn.HSTACK(Dim_array,DimValues_array))),
U$3="Budget",IF($C48="",0,IF($G$3=FALSE,0,_xll.BC.BUDGETTURNOVER(Connection,$C48,,,$G$20,U$1,U$2,_xlfn.HSTACK(Dim_array,DimValues_array)))))</f>
        <v>0</v>
      </c>
      <c r="V48" s="70" cm="1">
        <f t="array" ref="V48">_xlfn.IFS(
V$3="Actual",IF($C48="",0,_xll.BC.CLOSINGBALANCE(Connection,$C48,,,V$2,_xlfn.HSTACK(Dim_array,DimValues_array))),
V$3="Budget",IF($C48="",0,IF($G$3=FALSE,0,_xll.BC.BUDGETTURNOVER(Connection,$C48,,,$G$20,V$1,V$2,_xlfn.HSTACK(Dim_array,DimValues_array)))))</f>
        <v>0</v>
      </c>
      <c r="W48" s="70" cm="1">
        <f t="array" ref="W48">_xlfn.IFS(
W$3="Actual",IF($C48="",0,_xll.BC.CLOSINGBALANCE(Connection,$C48,,,W$2,_xlfn.HSTACK(Dim_array,DimValues_array))),
W$3="Budget",IF($C48="",0,IF($G$3=FALSE,0,_xll.BC.BUDGETTURNOVER(Connection,$C48,,,$G$20,W$1,W$2,_xlfn.HSTACK(Dim_array,DimValues_array)))))</f>
        <v>0</v>
      </c>
    </row>
    <row r="49" spans="3:16">
      <c r="C49" s="44"/>
      <c r="D49" s="33"/>
      <c r="E49" s="33"/>
      <c r="F49" s="31"/>
    </row>
    <row r="50" spans="3:16">
      <c r="C50" s="44"/>
      <c r="D50" s="33"/>
      <c r="E50" s="33"/>
      <c r="G50" s="30"/>
      <c r="H50" s="30"/>
      <c r="I50" s="30"/>
      <c r="J50" s="30"/>
      <c r="K50" s="21"/>
    </row>
    <row r="51" spans="3:16">
      <c r="C51" s="44"/>
      <c r="D51" s="33"/>
      <c r="E51" s="33"/>
      <c r="G51" s="30"/>
      <c r="H51" s="30"/>
      <c r="I51" s="30"/>
      <c r="J51" s="30"/>
      <c r="P51" s="52"/>
    </row>
    <row r="52" spans="3:16">
      <c r="C52" s="44"/>
      <c r="D52" s="33"/>
      <c r="E52" s="33"/>
    </row>
    <row r="53" spans="3:16">
      <c r="C53" s="44"/>
      <c r="D53" s="33"/>
      <c r="E53" s="33"/>
    </row>
    <row r="54" spans="3:16">
      <c r="C54" s="44"/>
      <c r="D54" s="33"/>
      <c r="E54" s="33"/>
    </row>
    <row r="55" spans="3:16">
      <c r="C55" s="44"/>
      <c r="D55" s="33"/>
      <c r="E55" s="33"/>
    </row>
    <row r="56" spans="3:16">
      <c r="C56" s="44"/>
      <c r="D56" s="33"/>
      <c r="E56" s="33"/>
    </row>
    <row r="57" spans="3:16">
      <c r="C57" s="44"/>
      <c r="D57" s="33"/>
      <c r="E57" s="33"/>
    </row>
    <row r="58" spans="3:16">
      <c r="C58" s="44"/>
      <c r="D58" s="33"/>
      <c r="E58" s="33"/>
    </row>
    <row r="59" spans="3:16">
      <c r="C59" s="44"/>
      <c r="D59" s="33"/>
      <c r="E59" s="33"/>
    </row>
    <row r="60" spans="3:16">
      <c r="C60" s="44"/>
      <c r="D60" s="33"/>
      <c r="E60" s="33"/>
    </row>
    <row r="61" spans="3:16">
      <c r="D61" s="33"/>
      <c r="E61" s="33"/>
    </row>
    <row r="62" spans="3:16">
      <c r="D62" s="33"/>
      <c r="E62" s="33"/>
    </row>
    <row r="63" spans="3:16">
      <c r="D63" s="33"/>
      <c r="E63" s="33"/>
    </row>
    <row r="64" spans="3:16">
      <c r="D64" s="33"/>
      <c r="E64" s="33"/>
    </row>
    <row r="65" spans="4:5">
      <c r="D65" s="33"/>
      <c r="E65" s="33"/>
    </row>
    <row r="66" spans="4:5">
      <c r="D66" s="33"/>
      <c r="E66" s="33"/>
    </row>
    <row r="67" spans="4:5">
      <c r="D67" s="33"/>
      <c r="E67" s="33"/>
    </row>
    <row r="68" spans="4:5">
      <c r="D68" s="33"/>
      <c r="E68" s="33"/>
    </row>
    <row r="69" spans="4:5">
      <c r="D69" s="33"/>
      <c r="E69" s="33"/>
    </row>
    <row r="70" spans="4:5">
      <c r="D70" s="33"/>
      <c r="E70" s="33"/>
    </row>
    <row r="71" spans="4:5">
      <c r="D71" s="33"/>
      <c r="E71" s="33"/>
    </row>
    <row r="72" spans="4:5">
      <c r="D72" s="33"/>
      <c r="E72" s="33"/>
    </row>
    <row r="73" spans="4:5">
      <c r="D73" s="33"/>
      <c r="E73" s="33"/>
    </row>
    <row r="74" spans="4:5">
      <c r="D74" s="33"/>
      <c r="E74" s="33"/>
    </row>
    <row r="75" spans="4:5">
      <c r="D75" s="33"/>
    </row>
    <row r="76" spans="4:5">
      <c r="D76" s="33"/>
    </row>
    <row r="77" spans="4:5">
      <c r="D77" s="33"/>
    </row>
    <row r="78" spans="4:5">
      <c r="D78" s="33"/>
    </row>
    <row r="79" spans="4:5">
      <c r="D79" s="33"/>
    </row>
    <row r="80" spans="4:5">
      <c r="D80" s="33"/>
    </row>
    <row r="81" spans="4:4">
      <c r="D81" s="33"/>
    </row>
    <row r="82" spans="4:4">
      <c r="D82" s="33"/>
    </row>
    <row r="83" spans="4:4">
      <c r="D83" s="33"/>
    </row>
    <row r="84" spans="4:4">
      <c r="D84" s="33"/>
    </row>
    <row r="85" spans="4:4">
      <c r="D85" s="33"/>
    </row>
    <row r="86" spans="4:4">
      <c r="D86" s="33"/>
    </row>
    <row r="87" spans="4:4">
      <c r="D87" s="33"/>
    </row>
    <row r="88" spans="4:4">
      <c r="D88" s="33"/>
    </row>
    <row r="89" spans="4:4">
      <c r="D89" s="33"/>
    </row>
    <row r="90" spans="4:4">
      <c r="D90" s="33"/>
    </row>
    <row r="91" spans="4:4">
      <c r="D91" s="33"/>
    </row>
    <row r="92" spans="4:4">
      <c r="D92" s="33"/>
    </row>
    <row r="93" spans="4:4">
      <c r="D93" s="33"/>
    </row>
    <row r="94" spans="4:4">
      <c r="D94" s="33"/>
    </row>
    <row r="95" spans="4:4">
      <c r="D95" s="33"/>
    </row>
    <row r="96" spans="4:4">
      <c r="D96" s="33"/>
    </row>
    <row r="97" spans="4:4">
      <c r="D97" s="33"/>
    </row>
    <row r="98" spans="4:4">
      <c r="D98" s="33"/>
    </row>
    <row r="99" spans="4:4">
      <c r="D99" s="33"/>
    </row>
    <row r="100" spans="4:4">
      <c r="D100" s="33"/>
    </row>
    <row r="101" spans="4:4">
      <c r="D101" s="33"/>
    </row>
    <row r="102" spans="4:4">
      <c r="D102" s="33"/>
    </row>
    <row r="103" spans="4:4">
      <c r="D103" s="33"/>
    </row>
    <row r="104" spans="4:4">
      <c r="D104" s="33"/>
    </row>
    <row r="105" spans="4:4">
      <c r="D105" s="33"/>
    </row>
    <row r="106" spans="4:4">
      <c r="D106" s="33"/>
    </row>
    <row r="107" spans="4:4">
      <c r="D107" s="33"/>
    </row>
    <row r="108" spans="4:4">
      <c r="D108" s="33"/>
    </row>
    <row r="109" spans="4:4">
      <c r="D109" s="33"/>
    </row>
    <row r="110" spans="4:4">
      <c r="D110" s="33"/>
    </row>
    <row r="111" spans="4:4">
      <c r="D111" s="33"/>
    </row>
    <row r="112" spans="4:4">
      <c r="D112" s="33"/>
    </row>
    <row r="113" spans="4:4">
      <c r="D113" s="33"/>
    </row>
    <row r="114" spans="4:4">
      <c r="D114" s="33"/>
    </row>
    <row r="115" spans="4:4">
      <c r="D115" s="33"/>
    </row>
    <row r="116" spans="4:4">
      <c r="D116" s="33"/>
    </row>
    <row r="117" spans="4:4">
      <c r="D117" s="33"/>
    </row>
    <row r="118" spans="4:4">
      <c r="D118" s="33"/>
    </row>
    <row r="119" spans="4:4">
      <c r="D119" s="33"/>
    </row>
    <row r="120" spans="4:4">
      <c r="D120" s="33"/>
    </row>
    <row r="121" spans="4:4">
      <c r="D121" s="33"/>
    </row>
    <row r="122" spans="4:4">
      <c r="D122" s="33"/>
    </row>
    <row r="123" spans="4:4">
      <c r="D123" s="33"/>
    </row>
    <row r="124" spans="4:4">
      <c r="D124" s="33"/>
    </row>
    <row r="125" spans="4:4">
      <c r="D125" s="33"/>
    </row>
    <row r="126" spans="4:4">
      <c r="D126" s="33"/>
    </row>
    <row r="127" spans="4:4">
      <c r="D127" s="33"/>
    </row>
    <row r="128" spans="4:4">
      <c r="D128" s="33"/>
    </row>
    <row r="129" spans="4:4">
      <c r="D129" s="33"/>
    </row>
    <row r="130" spans="4:4">
      <c r="D130" s="33"/>
    </row>
    <row r="131" spans="4:4">
      <c r="D131" s="33"/>
    </row>
    <row r="132" spans="4:4">
      <c r="D132" s="33"/>
    </row>
    <row r="133" spans="4:4">
      <c r="D133" s="33"/>
    </row>
    <row r="134" spans="4:4">
      <c r="D134" s="33"/>
    </row>
    <row r="135" spans="4:4">
      <c r="D135" s="33"/>
    </row>
    <row r="136" spans="4:4">
      <c r="D136" s="33"/>
    </row>
    <row r="137" spans="4:4">
      <c r="D137" s="33"/>
    </row>
    <row r="138" spans="4:4">
      <c r="D138" s="33"/>
    </row>
    <row r="139" spans="4:4">
      <c r="D139" s="33"/>
    </row>
    <row r="140" spans="4:4">
      <c r="D140" s="33"/>
    </row>
    <row r="141" spans="4:4">
      <c r="D141" s="33"/>
    </row>
    <row r="142" spans="4:4">
      <c r="D142" s="33"/>
    </row>
    <row r="143" spans="4:4">
      <c r="D143" s="33"/>
    </row>
    <row r="144" spans="4:4">
      <c r="D144" s="33"/>
    </row>
    <row r="145" spans="4:4">
      <c r="D145" s="33"/>
    </row>
    <row r="146" spans="4:4">
      <c r="D146" s="33"/>
    </row>
    <row r="147" spans="4:4">
      <c r="D147" s="33"/>
    </row>
    <row r="148" spans="4:4">
      <c r="D148" s="33"/>
    </row>
    <row r="149" spans="4:4">
      <c r="D149" s="33"/>
    </row>
    <row r="150" spans="4:4">
      <c r="D150" s="33"/>
    </row>
    <row r="151" spans="4:4">
      <c r="D151" s="33"/>
    </row>
    <row r="152" spans="4:4">
      <c r="D152" s="33"/>
    </row>
    <row r="153" spans="4:4">
      <c r="D153" s="33"/>
    </row>
    <row r="154" spans="4:4">
      <c r="D154" s="33"/>
    </row>
    <row r="155" spans="4:4">
      <c r="D155" s="33"/>
    </row>
    <row r="156" spans="4:4">
      <c r="D156" s="33"/>
    </row>
    <row r="157" spans="4:4">
      <c r="D157" s="33"/>
    </row>
    <row r="158" spans="4:4">
      <c r="D158" s="33"/>
    </row>
    <row r="159" spans="4:4">
      <c r="D159" s="33"/>
    </row>
    <row r="160" spans="4:4">
      <c r="D160" s="33"/>
    </row>
    <row r="161" spans="4:4">
      <c r="D161" s="33"/>
    </row>
    <row r="162" spans="4:4">
      <c r="D162" s="33"/>
    </row>
    <row r="163" spans="4:4">
      <c r="D163" s="33"/>
    </row>
    <row r="164" spans="4:4">
      <c r="D164" s="33"/>
    </row>
    <row r="165" spans="4:4">
      <c r="D165" s="33"/>
    </row>
    <row r="166" spans="4:4">
      <c r="D166" s="33"/>
    </row>
    <row r="167" spans="4:4">
      <c r="D167" s="33"/>
    </row>
    <row r="168" spans="4:4">
      <c r="D168" s="33"/>
    </row>
    <row r="169" spans="4:4">
      <c r="D169" s="33"/>
    </row>
    <row r="170" spans="4:4">
      <c r="D170" s="33"/>
    </row>
    <row r="171" spans="4:4">
      <c r="D171" s="33"/>
    </row>
    <row r="172" spans="4:4">
      <c r="D172" s="33"/>
    </row>
    <row r="173" spans="4:4">
      <c r="D173" s="33"/>
    </row>
    <row r="174" spans="4:4">
      <c r="D174" s="33"/>
    </row>
    <row r="175" spans="4:4">
      <c r="D175" s="33"/>
    </row>
    <row r="176" spans="4:4">
      <c r="D176" s="33"/>
    </row>
    <row r="177" spans="4:4">
      <c r="D177" s="33"/>
    </row>
    <row r="178" spans="4:4">
      <c r="D178" s="33"/>
    </row>
    <row r="179" spans="4:4">
      <c r="D179" s="33"/>
    </row>
    <row r="180" spans="4:4">
      <c r="D180" s="33"/>
    </row>
    <row r="181" spans="4:4">
      <c r="D181" s="33"/>
    </row>
    <row r="182" spans="4:4">
      <c r="D182" s="33"/>
    </row>
    <row r="183" spans="4:4">
      <c r="D183" s="33"/>
    </row>
    <row r="184" spans="4:4">
      <c r="D184" s="33"/>
    </row>
    <row r="185" spans="4:4">
      <c r="D185" s="33"/>
    </row>
    <row r="186" spans="4:4">
      <c r="D186" s="33"/>
    </row>
    <row r="187" spans="4:4">
      <c r="D187" s="33"/>
    </row>
    <row r="188" spans="4:4">
      <c r="D188" s="33"/>
    </row>
    <row r="189" spans="4:4">
      <c r="D189" s="33"/>
    </row>
    <row r="190" spans="4:4">
      <c r="D190" s="33"/>
    </row>
    <row r="191" spans="4:4">
      <c r="D191" s="33"/>
    </row>
    <row r="192" spans="4:4">
      <c r="D192" s="33"/>
    </row>
    <row r="193" spans="4:4">
      <c r="D193" s="33"/>
    </row>
    <row r="194" spans="4:4">
      <c r="D194" s="33"/>
    </row>
    <row r="195" spans="4:4">
      <c r="D195" s="33"/>
    </row>
    <row r="196" spans="4:4">
      <c r="D196" s="33"/>
    </row>
    <row r="197" spans="4:4">
      <c r="D197" s="33"/>
    </row>
    <row r="198" spans="4:4">
      <c r="D198" s="33"/>
    </row>
    <row r="199" spans="4:4">
      <c r="D199" s="33"/>
    </row>
    <row r="200" spans="4:4">
      <c r="D200" s="33"/>
    </row>
    <row r="201" spans="4:4">
      <c r="D201" s="33"/>
    </row>
    <row r="202" spans="4:4">
      <c r="D202" s="33"/>
    </row>
    <row r="203" spans="4:4">
      <c r="D203" s="33"/>
    </row>
    <row r="204" spans="4:4">
      <c r="D204" s="33"/>
    </row>
    <row r="205" spans="4:4">
      <c r="D205" s="33"/>
    </row>
    <row r="206" spans="4:4">
      <c r="D206" s="33"/>
    </row>
    <row r="207" spans="4:4">
      <c r="D207" s="33"/>
    </row>
    <row r="208" spans="4:4">
      <c r="D208" s="33"/>
    </row>
    <row r="209" spans="4:4">
      <c r="D209" s="33"/>
    </row>
    <row r="210" spans="4:4">
      <c r="D210" s="33"/>
    </row>
    <row r="211" spans="4:4">
      <c r="D211" s="33"/>
    </row>
    <row r="212" spans="4:4">
      <c r="D212" s="33"/>
    </row>
    <row r="213" spans="4:4">
      <c r="D213" s="33"/>
    </row>
    <row r="214" spans="4:4">
      <c r="D214" s="33"/>
    </row>
    <row r="215" spans="4:4">
      <c r="D215" s="33"/>
    </row>
    <row r="216" spans="4:4">
      <c r="D216" s="33"/>
    </row>
    <row r="217" spans="4:4">
      <c r="D217" s="33"/>
    </row>
    <row r="218" spans="4:4">
      <c r="D218" s="33"/>
    </row>
    <row r="219" spans="4:4">
      <c r="D219" s="33"/>
    </row>
    <row r="220" spans="4:4">
      <c r="D220" s="33"/>
    </row>
    <row r="221" spans="4:4">
      <c r="D221" s="33"/>
    </row>
    <row r="222" spans="4:4">
      <c r="D222" s="33"/>
    </row>
    <row r="223" spans="4:4">
      <c r="D223" s="33"/>
    </row>
    <row r="224" spans="4:4">
      <c r="D224" s="33"/>
    </row>
    <row r="225" spans="4:4">
      <c r="D225" s="33"/>
    </row>
    <row r="226" spans="4:4">
      <c r="D226" s="33"/>
    </row>
    <row r="227" spans="4:4">
      <c r="D227" s="33"/>
    </row>
    <row r="228" spans="4:4">
      <c r="D228" s="33"/>
    </row>
    <row r="229" spans="4:4">
      <c r="D229" s="33"/>
    </row>
    <row r="230" spans="4:4">
      <c r="D230" s="33"/>
    </row>
    <row r="231" spans="4:4">
      <c r="D231" s="33"/>
    </row>
    <row r="232" spans="4:4">
      <c r="D232" s="33"/>
    </row>
    <row r="233" spans="4:4">
      <c r="D233" s="33"/>
    </row>
    <row r="234" spans="4:4">
      <c r="D234" s="33"/>
    </row>
    <row r="235" spans="4:4">
      <c r="D235" s="33"/>
    </row>
    <row r="236" spans="4:4">
      <c r="D236" s="33"/>
    </row>
    <row r="237" spans="4:4">
      <c r="D237" s="33"/>
    </row>
    <row r="238" spans="4:4">
      <c r="D238" s="33"/>
    </row>
    <row r="239" spans="4:4">
      <c r="D239" s="33"/>
    </row>
    <row r="240" spans="4:4">
      <c r="D240" s="33"/>
    </row>
    <row r="241" spans="4:4">
      <c r="D241" s="33"/>
    </row>
    <row r="242" spans="4:4">
      <c r="D242" s="33"/>
    </row>
    <row r="243" spans="4:4">
      <c r="D243" s="33"/>
    </row>
    <row r="244" spans="4:4">
      <c r="D244" s="33"/>
    </row>
    <row r="245" spans="4:4">
      <c r="D245" s="33"/>
    </row>
    <row r="246" spans="4:4">
      <c r="D246" s="33"/>
    </row>
    <row r="247" spans="4:4">
      <c r="D247" s="33"/>
    </row>
    <row r="248" spans="4:4">
      <c r="D248" s="33"/>
    </row>
    <row r="249" spans="4:4">
      <c r="D249" s="33"/>
    </row>
    <row r="250" spans="4:4">
      <c r="D250" s="33"/>
    </row>
    <row r="251" spans="4:4">
      <c r="D251" s="33"/>
    </row>
    <row r="252" spans="4:4">
      <c r="D252" s="33"/>
    </row>
    <row r="253" spans="4:4">
      <c r="D253" s="33"/>
    </row>
    <row r="254" spans="4:4">
      <c r="D254" s="33"/>
    </row>
    <row r="255" spans="4:4">
      <c r="D255" s="33"/>
    </row>
    <row r="256" spans="4:4">
      <c r="D256" s="33"/>
    </row>
    <row r="257" spans="4:4">
      <c r="D257" s="33"/>
    </row>
    <row r="258" spans="4:4">
      <c r="D258" s="33"/>
    </row>
    <row r="259" spans="4:4">
      <c r="D259" s="33"/>
    </row>
    <row r="260" spans="4:4">
      <c r="D260" s="33"/>
    </row>
    <row r="261" spans="4:4">
      <c r="D261" s="33"/>
    </row>
    <row r="262" spans="4:4">
      <c r="D262" s="33"/>
    </row>
    <row r="263" spans="4:4">
      <c r="D263" s="33"/>
    </row>
    <row r="264" spans="4:4">
      <c r="D264" s="33"/>
    </row>
    <row r="265" spans="4:4">
      <c r="D265" s="33"/>
    </row>
    <row r="266" spans="4:4">
      <c r="D266" s="33"/>
    </row>
    <row r="267" spans="4:4">
      <c r="D267" s="33"/>
    </row>
    <row r="268" spans="4:4">
      <c r="D268" s="33"/>
    </row>
    <row r="269" spans="4:4">
      <c r="D269" s="33"/>
    </row>
    <row r="270" spans="4:4">
      <c r="D270" s="33"/>
    </row>
    <row r="271" spans="4:4">
      <c r="D271" s="33"/>
    </row>
    <row r="272" spans="4:4">
      <c r="D272" s="33"/>
    </row>
    <row r="273" spans="4:4">
      <c r="D273" s="33"/>
    </row>
  </sheetData>
  <dataConsolidate/>
  <mergeCells count="2">
    <mergeCell ref="A21:C21"/>
    <mergeCell ref="A8:B8"/>
  </mergeCells>
  <conditionalFormatting sqref="D23:E1013">
    <cfRule type="expression" dxfId="3" priority="7">
      <formula>$C23="Posting"</formula>
    </cfRule>
  </conditionalFormatting>
  <conditionalFormatting sqref="J24:J48">
    <cfRule type="cellIs" dxfId="2" priority="1" operator="notEqual">
      <formula>0</formula>
    </cfRule>
  </conditionalFormatting>
  <conditionalFormatting sqref="L22:W48">
    <cfRule type="expression" dxfId="1" priority="2">
      <formula>L$3="Budget"</formula>
    </cfRule>
  </conditionalFormatting>
  <dataValidations count="2">
    <dataValidation type="date" allowBlank="1" showInputMessage="1" showErrorMessage="1" errorTitle="INCORRECT DATE!" error="Please input a valid date" sqref="G19" xr:uid="{E7553589-656C-4F6A-9727-01B333F2ECBB}">
      <formula1>32874</formula1>
      <formula2>55153</formula2>
    </dataValidation>
    <dataValidation allowBlank="1" showInputMessage="1" sqref="G21" xr:uid="{EB18E234-C8F7-434A-8135-89C9B6255803}"/>
  </dataValidations>
  <pageMargins left="0.7" right="0.7" top="0.75" bottom="0.75" header="0.3" footer="0.3"/>
  <pageSetup scale="7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errorTitle="INCORRECT DATE!" error="Please input a valid date" xr:uid="{DC8C9C15-AF7C-4121-8071-D726D579F5DF}">
          <x14:formula1>
            <xm:f>_xlfn.ANCHORARRAY(Options!$W$2)</xm:f>
          </x14:formula1>
          <xm:sqref>G18:G19</xm:sqref>
        </x14:dataValidation>
        <x14:dataValidation type="list" allowBlank="1" showInputMessage="1" showErrorMessage="1" errorTitle="INCORRECT DATE!" error="Please input a valid date" xr:uid="{BBBAA147-EB2D-4A31-8D70-318710DE9E8A}">
          <x14:formula1>
            <xm:f>_xlfn.ANCHORARRAY(Options!$N$2)</xm:f>
          </x14:formula1>
          <xm:sqref>G9</xm:sqref>
        </x14:dataValidation>
        <x14:dataValidation type="list" allowBlank="1" showInputMessage="1" showErrorMessage="1" errorTitle="INCORRECT DATE!" error="Please input a valid date" xr:uid="{24E7F654-E986-42EA-95B0-A0C1BE03EC8A}">
          <x14:formula1>
            <xm:f>_xlfn.ANCHORARRAY(Options!$O$2)</xm:f>
          </x14:formula1>
          <xm:sqref>G10</xm:sqref>
        </x14:dataValidation>
        <x14:dataValidation type="list" allowBlank="1" showInputMessage="1" showErrorMessage="1" errorTitle="INCORRECT DATE!" error="Please input a valid date" xr:uid="{4777F38A-7EEB-4FCD-9DE1-E9603815CD71}">
          <x14:formula1>
            <xm:f>_xlfn.ANCHORARRAY(Options!$P$2)</xm:f>
          </x14:formula1>
          <xm:sqref>G11</xm:sqref>
        </x14:dataValidation>
        <x14:dataValidation type="list" allowBlank="1" showInputMessage="1" showErrorMessage="1" errorTitle="INCORRECT DATE!" error="Please input a valid date" xr:uid="{7D294F57-E435-4E0F-823E-7602DB526EB2}">
          <x14:formula1>
            <xm:f>_xlfn.ANCHORARRAY(Options!$Q$2)</xm:f>
          </x14:formula1>
          <xm:sqref>G12</xm:sqref>
        </x14:dataValidation>
        <x14:dataValidation type="list" allowBlank="1" showInputMessage="1" showErrorMessage="1" errorTitle="INCORRECT DATE!" error="Please input a valid date" xr:uid="{00C5C985-A5FE-453F-840F-3EE7C2DF333C}">
          <x14:formula1>
            <xm:f>_xlfn.ANCHORARRAY(Options!$R$2)</xm:f>
          </x14:formula1>
          <xm:sqref>G13</xm:sqref>
        </x14:dataValidation>
        <x14:dataValidation type="list" allowBlank="1" showInputMessage="1" showErrorMessage="1" errorTitle="INCORRECT DATE!" error="Please input a valid date" xr:uid="{876C0FF0-CD1A-4810-BF48-A37D3EDFEA80}">
          <x14:formula1>
            <xm:f>_xlfn.ANCHORARRAY(Options!$S$2)</xm:f>
          </x14:formula1>
          <xm:sqref>G14</xm:sqref>
        </x14:dataValidation>
        <x14:dataValidation type="list" allowBlank="1" showInputMessage="1" showErrorMessage="1" errorTitle="INCORRECT DATE!" error="Please input a valid date" xr:uid="{702BEC21-FFA5-4268-B17B-8E1E38438667}">
          <x14:formula1>
            <xm:f>_xlfn.ANCHORARRAY(Options!$T$2)</xm:f>
          </x14:formula1>
          <xm:sqref>G15</xm:sqref>
        </x14:dataValidation>
        <x14:dataValidation type="list" allowBlank="1" showInputMessage="1" showErrorMessage="1" errorTitle="INCORRECT DATE!" error="Please input a valid date" xr:uid="{F6E269B7-B5E3-48A4-B3A2-71E0FAAF5BE6}">
          <x14:formula1>
            <xm:f>_xlfn.ANCHORARRAY(Options!$U$2)</xm:f>
          </x14:formula1>
          <xm:sqref>G16</xm:sqref>
        </x14:dataValidation>
        <x14:dataValidation type="list" allowBlank="1" showInputMessage="1" showErrorMessage="1" errorTitle="INCORRECT DATE!" error="Please input a valid date" xr:uid="{8FEB5CC2-F0E7-451D-93C3-374D3267E627}">
          <x14:formula1>
            <xm:f>_xlfn.ANCHORARRAY(Options!$V$2)</xm:f>
          </x14:formula1>
          <xm:sqref>G17</xm:sqref>
        </x14:dataValidation>
        <x14:dataValidation type="list" allowBlank="1" showInputMessage="1" xr:uid="{73AFEF77-98A6-4A5D-A472-231DFCEF1B4E}">
          <x14:formula1>
            <xm:f>_xlfn.ANCHORARRAY(Options!$K$2)</xm:f>
          </x14:formula1>
          <xm:sqref>G20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B3E61-60D0-4642-BE4C-DF60DE3C64C7}">
  <sheetPr>
    <tabColor theme="0" tint="-0.499984740745262"/>
  </sheetPr>
  <dimension ref="A1:Y28"/>
  <sheetViews>
    <sheetView showGridLines="0" zoomScaleNormal="100" workbookViewId="0"/>
  </sheetViews>
  <sheetFormatPr defaultColWidth="9.1171875" defaultRowHeight="14.25" outlineLevelCol="1"/>
  <cols>
    <col min="1" max="1" width="15.3515625" style="2" customWidth="1"/>
    <col min="2" max="2" width="1.41015625" style="2" customWidth="1"/>
    <col min="3" max="3" width="15.3515625" style="2" hidden="1" customWidth="1"/>
    <col min="4" max="4" width="14.3515625" style="2" hidden="1" customWidth="1"/>
    <col min="5" max="5" width="14.52734375" style="2" hidden="1" customWidth="1"/>
    <col min="6" max="6" width="1.52734375" style="2" hidden="1" customWidth="1"/>
    <col min="7" max="7" width="26" style="2" hidden="1" customWidth="1"/>
    <col min="8" max="8" width="23.41015625" style="2" hidden="1" customWidth="1"/>
    <col min="9" max="9" width="26" style="2" hidden="1" customWidth="1"/>
    <col min="10" max="10" width="1.52734375" style="2" hidden="1" customWidth="1"/>
    <col min="11" max="11" width="15.64453125" style="2" hidden="1" customWidth="1" outlineLevel="1"/>
    <col min="12" max="12" width="1.52734375" style="1" hidden="1" customWidth="1" outlineLevel="1"/>
    <col min="13" max="24" width="15.64453125" style="2" hidden="1" customWidth="1" outlineLevel="1"/>
    <col min="25" max="25" width="15.64453125" style="2" customWidth="1" collapsed="1"/>
    <col min="26" max="28" width="15.64453125" style="2" customWidth="1"/>
    <col min="29" max="16384" width="9.1171875" style="2"/>
  </cols>
  <sheetData>
    <row r="1" spans="1:23" s="1" customFormat="1">
      <c r="A1" s="3" t="s">
        <v>11</v>
      </c>
      <c r="C1" s="3" t="s">
        <v>12</v>
      </c>
      <c r="D1" s="3" t="s">
        <v>66</v>
      </c>
      <c r="E1" s="3" t="s">
        <v>13</v>
      </c>
      <c r="F1" s="2"/>
      <c r="G1" s="3" t="s">
        <v>39</v>
      </c>
      <c r="H1" s="3" t="s">
        <v>61</v>
      </c>
      <c r="I1" s="3" t="s">
        <v>62</v>
      </c>
      <c r="J1" s="2"/>
      <c r="K1" s="3" t="s">
        <v>74</v>
      </c>
      <c r="M1" s="3" t="s">
        <v>63</v>
      </c>
      <c r="N1" s="41" t="str" cm="1">
        <f t="array" ref="N1:T1">TRANSPOSE(_xll.BC.EXPANDDIMENSIONRANGE(Connection))</f>
        <v>AREA</v>
      </c>
      <c r="O1" s="41" t="str">
        <v>BUSINESSGROUP</v>
      </c>
      <c r="P1" s="41" t="str">
        <v>CUSTOMERGROUP</v>
      </c>
      <c r="Q1" s="41" t="str">
        <v>DEPARTMENT</v>
      </c>
      <c r="R1" s="41" t="str">
        <v>PURCHASER</v>
      </c>
      <c r="S1" s="41" t="str">
        <v>SALESCAMPAIGN</v>
      </c>
      <c r="T1" s="41" t="str">
        <v>SALESPERSON</v>
      </c>
      <c r="U1" s="41"/>
    </row>
    <row r="2" spans="1:23">
      <c r="A2" s="27" t="s">
        <v>30</v>
      </c>
      <c r="C2" s="2" t="str" cm="1">
        <f t="array" ref="C2">TEXT(_xll.BC.QUERY(Connection,"companyinformation",,"currentFiscalYearStartDate",FALSE),"Mmmm")</f>
        <v>January</v>
      </c>
      <c r="D2" s="36">
        <f>DATE(YEAR('Cash Flow Statement'!G2),MONTH((DATEVALUE("1-"&amp;C2&amp;"-1900"))),1)</f>
        <v>45292</v>
      </c>
      <c r="E2" s="9">
        <f>DATE(YEAR('Cash Flow Statement'!G2),MONTH((DATEVALUE("1-"&amp;C2&amp;"-1900")))+11,DAY(EOMONTH(D2,-1)))</f>
        <v>45657</v>
      </c>
      <c r="F2" s="9"/>
      <c r="G2" s="35" t="str" cm="1">
        <f t="array" ref="G2:G15">_xlfn.LET(
_xlpm.AcctCode,_xll.BC.EXPANDACCOUNTRANGE(Connection,,,,"P"),
_xlpm.Category,_xll.BC.ACCOUNTCATEGORY(Connection,_xlpm.AcctCode),
_xlpm.CombinedData,_xlfn.HSTACK(_xlpm.AcctCode,_xlpm.Category),
_xlpm.FilteredData,_xlfn._xlws.FILTER(_xlpm.CombinedData,ISNUMBER(MATCH(INDEX(_xlpm.CombinedData,,2),_xll.VXTEXTSPLIT(PLAcctCategories,";"),0))),
_xlpm.Subcategories,_xll.BC.ACCOUNTSUBCATEGORY(Connection,INDEX(_xlpm.FilteredData,,1)),
_xlpm.RemovedBlank,_xlfn._xlws.FILTER(_xlpm.Subcategories,_xlpm.Subcategories&lt;&gt;""),_xlfn.UNIQUE(_xlfn._xlws.SORT(_xlpm.RemovedBlank)))</f>
        <v>Advertising Expense</v>
      </c>
      <c r="H2" s="2" t="str" cm="1">
        <f t="array" ref="H2:H14">_xlfn.LET(
_xlpm.AcctCode,_xll.BC.EXPANDACCOUNTRANGE(Connection,,,,"P"),
_xlpm.Category,_xll.BC.ACCOUNTCATEGORY(Connection,_xlpm.AcctCode),
_xlpm.CombinedData,_xlfn.HSTACK(_xlpm.AcctCode,_xlpm.Category),
_xlpm.FilteredData,_xlfn._xlws.FILTER(_xlpm.CombinedData,ISNUMBER(MATCH(INDEX(_xlpm.CombinedData,,2),_xll.VXTEXTSPLIT(BSAcctCategories,";"),0))),
_xlpm.Subcategories,_xll.BC.ACCOUNTSUBCATEGORY(Connection,INDEX(_xlpm.FilteredData,,1)),
_xlpm.RemovedBlank,_xlfn._xlws.FILTER(_xlpm.Subcategories,_xlpm.Subcategories&lt;&gt;""),_xlfn.UNIQUE(_xlfn._xlws.SORT(_xlpm.RemovedBlank)))</f>
        <v>Accounts Receivable</v>
      </c>
      <c r="I2" s="2" t="str" cm="1">
        <f t="array" ref="I2:I28">_xlfn.VSTACK(_xlfn.ANCHORARRAY(G2),_xlfn.ANCHORARRAY(H2))</f>
        <v>Advertising Expense</v>
      </c>
      <c r="J2" s="9"/>
      <c r="K2" s="2" t="str" cm="1">
        <f t="array" ref="K2:K3">IFERROR(_xll.BC.EXPANDBUDGETRANGE(Connection),"")</f>
        <v>VXBS2024</v>
      </c>
      <c r="N2" s="2" t="str" cm="1">
        <f t="array" ref="N2:N12">IF(N1="","",_xll.BC.EXPANDDIMENSIONVALUERANGE(Connection,N1))</f>
        <v>10</v>
      </c>
      <c r="O2" s="2" t="str" cm="1">
        <f t="array" ref="O2:O5">IF(O1="","",_xll.BC.EXPANDDIMENSIONVALUERANGE(Connection,O1))</f>
        <v>GRPBG</v>
      </c>
      <c r="P2" s="2" t="str" cm="1">
        <f t="array" ref="P2:P4">IF(P1="","",_xll.BC.EXPANDDIMENSIONVALUERANGE(Connection,P1))</f>
        <v>LARGE</v>
      </c>
      <c r="Q2" s="2" t="str" cm="1">
        <f t="array" ref="Q2:Q4">IF(Q1="","",_xll.BC.EXPANDDIMENSIONVALUERANGE(Connection,Q1))</f>
        <v>ADM</v>
      </c>
      <c r="R2" s="2" t="str" cm="1">
        <f t="array" ref="R2:R4">IF(R1="","",_xll.BC.EXPANDDIMENSIONVALUERANGE(Connection,R1))</f>
        <v>MH</v>
      </c>
      <c r="S2" s="2" t="str" cm="1">
        <f t="array" ref="S2:S3">IF(S1="","",_xll.BC.EXPANDDIMENSIONVALUERANGE(Connection,S1))</f>
        <v>SUMMER</v>
      </c>
      <c r="T2" s="2" t="str" cm="1">
        <f t="array" ref="T2:T4">IF(T1="","",_xll.BC.EXPANDDIMENSIONVALUERANGE(Connection,T1))</f>
        <v>JO</v>
      </c>
      <c r="U2" s="2" t="str" cm="1">
        <f t="array" ref="U2">IF(U1="","",_xll.BC.EXPANDDIMENSIONVALUERANGE(Connection,U1))</f>
        <v/>
      </c>
      <c r="V2" s="2" t="str" cm="1">
        <f t="array" ref="V2">IF(V1="","",_xll.BC.EXPANDDIMENSIONVALUERANGE(Connection,V1))</f>
        <v/>
      </c>
      <c r="W2" s="2" t="str" cm="1">
        <f t="array" ref="W2">IF(W1="","",_xll.BC.EXPANDDIMENSIONVALUERANGE(Connection,W1))</f>
        <v/>
      </c>
    </row>
    <row r="3" spans="1:23">
      <c r="G3" s="2" t="str">
        <v>Expense</v>
      </c>
      <c r="H3" s="2" t="str">
        <v>Accumulated Depreciation</v>
      </c>
      <c r="I3" s="2" t="str">
        <v>Expense</v>
      </c>
      <c r="K3" s="2" t="str">
        <v>VXPL2024</v>
      </c>
      <c r="N3" s="2" t="str">
        <v>20</v>
      </c>
      <c r="O3" s="2" t="str">
        <v>HOME</v>
      </c>
      <c r="P3" s="2" t="str">
        <v>MEDIUM</v>
      </c>
      <c r="Q3" s="2" t="str">
        <v>PROD</v>
      </c>
      <c r="R3" s="2" t="str">
        <v>RB</v>
      </c>
      <c r="S3" s="2" t="str">
        <v>WINTER</v>
      </c>
      <c r="T3" s="2" t="str">
        <v>LT</v>
      </c>
    </row>
    <row r="4" spans="1:23">
      <c r="G4" s="2" t="str">
        <v>Income</v>
      </c>
      <c r="H4" s="2" t="str">
        <v>Assets</v>
      </c>
      <c r="I4" s="2" t="str">
        <v>Income</v>
      </c>
      <c r="N4" s="2" t="str">
        <v>30</v>
      </c>
      <c r="O4" s="2" t="str">
        <v>INDUSTRIAL</v>
      </c>
      <c r="P4" s="2" t="str">
        <v>SMALL</v>
      </c>
      <c r="Q4" s="2" t="str">
        <v>SALES</v>
      </c>
      <c r="R4" s="2" t="str">
        <v>TD</v>
      </c>
      <c r="T4" s="2" t="str">
        <v>OF</v>
      </c>
    </row>
    <row r="5" spans="1:23">
      <c r="G5" s="2" t="str">
        <v>Income, Product Sales</v>
      </c>
      <c r="H5" s="2" t="str">
        <v>Cash</v>
      </c>
      <c r="I5" s="2" t="str">
        <v>Income, Product Sales</v>
      </c>
      <c r="N5" s="2" t="str">
        <v>40</v>
      </c>
      <c r="O5" s="2" t="str">
        <v>OFFICE</v>
      </c>
    </row>
    <row r="6" spans="1:23">
      <c r="G6" s="2" t="str">
        <v>Income, Services</v>
      </c>
      <c r="H6" s="2" t="str">
        <v>Common Stock</v>
      </c>
      <c r="I6" s="2" t="str">
        <v>Income, Services</v>
      </c>
      <c r="N6" s="2" t="str">
        <v>45</v>
      </c>
    </row>
    <row r="7" spans="1:23">
      <c r="G7" s="2" t="str">
        <v>Interest Expense</v>
      </c>
      <c r="H7" s="2" t="str">
        <v>Current Liabilities</v>
      </c>
      <c r="I7" s="2" t="str">
        <v>Interest Expense</v>
      </c>
      <c r="N7" s="2" t="str">
        <v>50</v>
      </c>
    </row>
    <row r="8" spans="1:23">
      <c r="G8" s="2" t="str">
        <v>Labor</v>
      </c>
      <c r="H8" s="2" t="str">
        <v>Equipment</v>
      </c>
      <c r="I8" s="2" t="str">
        <v>Labor</v>
      </c>
      <c r="N8" s="2" t="str">
        <v>55</v>
      </c>
    </row>
    <row r="9" spans="1:23">
      <c r="G9" s="2" t="str">
        <v>Materials</v>
      </c>
      <c r="H9" s="2" t="str">
        <v>Inventory</v>
      </c>
      <c r="I9" s="2" t="str">
        <v>Materials</v>
      </c>
      <c r="N9" s="2" t="str">
        <v>60</v>
      </c>
    </row>
    <row r="10" spans="1:23">
      <c r="G10" s="2" t="str">
        <v>Other Income &amp; Expenses</v>
      </c>
      <c r="H10" s="2" t="str">
        <v>Liabilities</v>
      </c>
      <c r="I10" s="2" t="str">
        <v>Other Income &amp; Expenses</v>
      </c>
      <c r="N10" s="2" t="str">
        <v>70</v>
      </c>
    </row>
    <row r="11" spans="1:23">
      <c r="G11" s="2" t="str">
        <v>Payroll Expense</v>
      </c>
      <c r="H11" s="2" t="str">
        <v>Long Term Liabilities</v>
      </c>
      <c r="I11" s="2" t="str">
        <v>Payroll Expense</v>
      </c>
      <c r="N11" s="2" t="str">
        <v>80</v>
      </c>
    </row>
    <row r="12" spans="1:23">
      <c r="G12" s="2" t="str">
        <v>Repairs and Maintenance Expense</v>
      </c>
      <c r="H12" s="2" t="str">
        <v>Payroll Liabilities</v>
      </c>
      <c r="I12" s="2" t="str">
        <v>Repairs and Maintenance Expense</v>
      </c>
      <c r="N12" s="2" t="str">
        <v>85</v>
      </c>
    </row>
    <row r="13" spans="1:23">
      <c r="G13" s="2" t="str">
        <v>Sales Discounts</v>
      </c>
      <c r="H13" s="2" t="str">
        <v>Prepaid Expenses</v>
      </c>
      <c r="I13" s="2" t="str">
        <v>Sales Discounts</v>
      </c>
    </row>
    <row r="14" spans="1:23">
      <c r="G14" s="2" t="str">
        <v>Tax Expense</v>
      </c>
      <c r="H14" s="2" t="str">
        <v>Retained Earnings</v>
      </c>
      <c r="I14" s="2" t="str">
        <v>Tax Expense</v>
      </c>
    </row>
    <row r="15" spans="1:23">
      <c r="G15" s="2" t="str">
        <v>Utilities Expense</v>
      </c>
      <c r="I15" s="2" t="str">
        <v>Utilities Expense</v>
      </c>
    </row>
    <row r="16" spans="1:23">
      <c r="I16" s="2" t="str">
        <v>Accounts Receivable</v>
      </c>
    </row>
    <row r="17" spans="9:9">
      <c r="I17" s="2" t="str">
        <v>Accumulated Depreciation</v>
      </c>
    </row>
    <row r="18" spans="9:9">
      <c r="I18" s="2" t="str">
        <v>Assets</v>
      </c>
    </row>
    <row r="19" spans="9:9">
      <c r="I19" s="2" t="str">
        <v>Cash</v>
      </c>
    </row>
    <row r="20" spans="9:9">
      <c r="I20" s="2" t="str">
        <v>Common Stock</v>
      </c>
    </row>
    <row r="21" spans="9:9">
      <c r="I21" s="2" t="str">
        <v>Current Liabilities</v>
      </c>
    </row>
    <row r="22" spans="9:9">
      <c r="I22" s="2" t="str">
        <v>Equipment</v>
      </c>
    </row>
    <row r="23" spans="9:9">
      <c r="I23" s="2" t="str">
        <v>Inventory</v>
      </c>
    </row>
    <row r="24" spans="9:9">
      <c r="I24" s="2" t="str">
        <v>Liabilities</v>
      </c>
    </row>
    <row r="25" spans="9:9">
      <c r="I25" s="2" t="str">
        <v>Long Term Liabilities</v>
      </c>
    </row>
    <row r="26" spans="9:9">
      <c r="I26" s="2" t="str">
        <v>Payroll Liabilities</v>
      </c>
    </row>
    <row r="27" spans="9:9">
      <c r="I27" s="2" t="str">
        <v>Prepaid Expenses</v>
      </c>
    </row>
    <row r="28" spans="9:9">
      <c r="I28" s="2" t="str">
        <v>Retained Earnings</v>
      </c>
    </row>
  </sheetData>
  <conditionalFormatting sqref="N1:W1">
    <cfRule type="notContainsBlanks" dxfId="0" priority="1">
      <formula>LEN(TRIM(N1))&gt;0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31D3-1F22-47AE-AEFE-E172B6F8E497}">
  <sheetPr>
    <tabColor theme="0" tint="-0.499984740745262"/>
  </sheetPr>
  <dimension ref="A1:B15"/>
  <sheetViews>
    <sheetView showGridLines="0" workbookViewId="0">
      <selection activeCell="B35" sqref="B35"/>
    </sheetView>
  </sheetViews>
  <sheetFormatPr defaultRowHeight="15.75"/>
  <cols>
    <col min="1" max="1" width="17.234375" customWidth="1"/>
    <col min="2" max="2" width="101.41015625" customWidth="1"/>
  </cols>
  <sheetData>
    <row r="1" spans="1:2" ht="23.25">
      <c r="A1" s="4" t="s">
        <v>15</v>
      </c>
    </row>
    <row r="3" spans="1:2">
      <c r="A3" t="s">
        <v>16</v>
      </c>
    </row>
    <row r="4" spans="1:2">
      <c r="A4" t="s">
        <v>26</v>
      </c>
    </row>
    <row r="5" spans="1:2">
      <c r="A5" s="5" t="s">
        <v>17</v>
      </c>
      <c r="B5" t="s">
        <v>75</v>
      </c>
    </row>
    <row r="6" spans="1:2">
      <c r="A6" s="5" t="s">
        <v>18</v>
      </c>
      <c r="B6" t="s">
        <v>76</v>
      </c>
    </row>
    <row r="7" spans="1:2">
      <c r="A7" s="5" t="s">
        <v>19</v>
      </c>
      <c r="B7" t="s">
        <v>68</v>
      </c>
    </row>
    <row r="8" spans="1:2">
      <c r="A8" s="5" t="s">
        <v>20</v>
      </c>
      <c r="B8" t="s">
        <v>67</v>
      </c>
    </row>
    <row r="9" spans="1:2">
      <c r="A9" s="5" t="s">
        <v>21</v>
      </c>
      <c r="B9" s="6">
        <v>1</v>
      </c>
    </row>
    <row r="10" spans="1:2">
      <c r="A10" s="5" t="s">
        <v>22</v>
      </c>
      <c r="B10" s="7">
        <v>45961</v>
      </c>
    </row>
    <row r="11" spans="1:2">
      <c r="A11" s="5" t="s">
        <v>23</v>
      </c>
      <c r="B11" s="8" t="s">
        <v>77</v>
      </c>
    </row>
    <row r="14" spans="1:2">
      <c r="A14" s="5" t="s">
        <v>24</v>
      </c>
    </row>
    <row r="15" spans="1:2">
      <c r="A15" s="23" t="s">
        <v>27</v>
      </c>
      <c r="B15" s="23" t="s">
        <v>25</v>
      </c>
    </row>
  </sheetData>
  <hyperlinks>
    <hyperlink ref="B11" r:id="rId1" xr:uid="{4E102604-E8C3-4DC9-8DB3-1A46CB42FA65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6464F-6C17-4089-BF54-6444F8691957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B8CE6-64F7-4A22-B507-1A156C59059A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1B93C-4483-4A29-9E55-0BE114E79A25}">
  <dimension ref="A3:C3"/>
  <sheetViews>
    <sheetView workbookViewId="0"/>
  </sheetViews>
  <sheetFormatPr defaultRowHeight="15.75"/>
  <sheetData>
    <row r="3" spans="1:3">
      <c r="A3" t="s">
        <v>79</v>
      </c>
      <c r="B3" t="b">
        <v>0</v>
      </c>
      <c r="C3" t="s">
        <v>81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1d8d7b04146f0186a8744e4fb092937b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0e40ea6f01a90960503f9a9a33a0f425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240391-8807-4C58-902C-DC437F5C656B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e8ea7d2f-2adf-4240-a9a3-0f4cbd191e2b"/>
    <ds:schemaRef ds:uri="4944a7f5-8a77-4428-8ee2-2834b8af263d"/>
  </ds:schemaRefs>
</ds:datastoreItem>
</file>

<file path=customXml/itemProps2.xml><?xml version="1.0" encoding="utf-8"?>
<ds:datastoreItem xmlns:ds="http://schemas.openxmlformats.org/officeDocument/2006/customXml" ds:itemID="{78690452-6AA7-4566-BF1A-22A444D1B5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B49E18-9DDC-478A-907C-9A2BDE5772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Cash Flow Statement</vt:lpstr>
      <vt:lpstr>Options</vt:lpstr>
      <vt:lpstr>Information</vt:lpstr>
      <vt:lpstr>Connection</vt:lpstr>
      <vt:lpstr>'Cash Flow Statement'!VelixoAutoHideZeroRows</vt:lpstr>
      <vt:lpstr>'Cash Flow Statement'!VelixoSuppressErrors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cp:lastPrinted>2025-09-12T08:12:15Z</cp:lastPrinted>
  <dcterms:created xsi:type="dcterms:W3CDTF">2023-11-07T02:43:21Z</dcterms:created>
  <dcterms:modified xsi:type="dcterms:W3CDTF">2025-12-02T02:46:13Z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